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5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llca\OneDrive - Trane Technologies\Documents\00 Power Solutions PM and Sales Mgr\Presentations\Detailed customer Presentations\"/>
    </mc:Choice>
  </mc:AlternateContent>
  <xr:revisionPtr revIDLastSave="0" documentId="8_{74013A35-F82B-4CD5-8FB2-14E9E75E5BA4}" xr6:coauthVersionLast="47" xr6:coauthVersionMax="47" xr10:uidLastSave="{00000000-0000-0000-0000-000000000000}"/>
  <workbookProtection workbookAlgorithmName="SHA-512" workbookHashValue="NBuJbk7aay17DUTszQ2p0ULE9C4x5wW6DZ5LB+9LHUxAKHxc6pd5pT/nvkghIXg8kEH8AymCNUcUq7AHeoY4qg==" workbookSaltValue="PBc7ku2Khlsphb5+oK+WJw==" workbookSpinCount="100000" lockStructure="1"/>
  <bookViews>
    <workbookView xWindow="-28920" yWindow="135" windowWidth="29040" windowHeight="15840" tabRatio="741" xr2:uid="{00000000-000D-0000-FFFF-FFFF00000000}"/>
  </bookViews>
  <sheets>
    <sheet name="Precedent Calculator" sheetId="2" r:id="rId1"/>
    <sheet name="30w data" sheetId="1" state="hidden" r:id="rId2"/>
    <sheet name="100W Calculator" sheetId="3" state="hidden" r:id="rId3"/>
    <sheet name="Liftgate data" sheetId="4" state="hidden" r:id="rId4"/>
    <sheet name="Version Tracker" sheetId="8" state="hidden" r:id="rId5"/>
  </sheets>
  <definedNames>
    <definedName name="Latitude">'30w data'!$A$12:$A$14</definedName>
    <definedName name="reg">'Liftgate data'!$A$5:$A$7</definedName>
    <definedName name="Region">'30w data'!$A$19:$A$21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B9" i="1" l="1"/>
  <c r="B8" i="1"/>
  <c r="H13" i="2" l="1"/>
  <c r="C24" i="3" l="1"/>
  <c r="C20" i="3"/>
  <c r="C22" i="3" l="1"/>
  <c r="J13" i="1" l="1"/>
  <c r="J14" i="1"/>
  <c r="E3" i="1"/>
  <c r="K1" i="1"/>
  <c r="D38" i="3" l="1"/>
  <c r="H13" i="3" l="1"/>
  <c r="C26" i="3" s="1"/>
  <c r="G14" i="3" l="1"/>
  <c r="D39" i="3" l="1"/>
  <c r="C23" i="2"/>
  <c r="C25" i="2"/>
  <c r="D38" i="2" l="1"/>
  <c r="D39" i="2" s="1"/>
  <c r="D29" i="3"/>
  <c r="D32" i="3" s="1"/>
  <c r="D30" i="3" l="1"/>
  <c r="D31" i="3"/>
  <c r="C19" i="3" l="1"/>
  <c r="D40" i="3" l="1"/>
  <c r="H8" i="1" l="1"/>
  <c r="C8" i="1"/>
  <c r="H9" i="1"/>
  <c r="C9" i="1"/>
  <c r="E29" i="3"/>
  <c r="C29" i="3"/>
  <c r="K3" i="1"/>
  <c r="K2" i="1"/>
  <c r="C31" i="3" l="1"/>
  <c r="E31" i="3"/>
  <c r="C32" i="3"/>
  <c r="E32" i="3"/>
  <c r="E30" i="3"/>
  <c r="C30" i="3"/>
  <c r="B4" i="1"/>
  <c r="L9" i="1" s="1"/>
  <c r="C17" i="2" s="1"/>
  <c r="B3" i="1"/>
  <c r="C3" i="1" l="1"/>
  <c r="F3" i="1" s="1"/>
  <c r="G3" i="1" s="1"/>
  <c r="L8" i="1"/>
  <c r="C16" i="2" s="1"/>
  <c r="H3" i="1"/>
  <c r="I8" i="1" s="1"/>
  <c r="H4" i="1"/>
  <c r="I9" i="1" s="1"/>
  <c r="C4" i="1" l="1"/>
  <c r="E9" i="1"/>
  <c r="J9" i="1" s="1"/>
  <c r="E8" i="1"/>
  <c r="F8" i="1" s="1"/>
  <c r="G8" i="1" s="1"/>
  <c r="E4" i="1"/>
  <c r="J8" i="1" l="1"/>
  <c r="J10" i="1" s="1"/>
  <c r="C21" i="2" s="1"/>
  <c r="K8" i="1"/>
  <c r="K9" i="1"/>
  <c r="I12" i="1"/>
  <c r="C19" i="2" s="1"/>
  <c r="D28" i="2" s="1"/>
  <c r="F9" i="1"/>
  <c r="G9" i="1" s="1"/>
  <c r="C28" i="2" l="1"/>
  <c r="D29" i="2"/>
  <c r="D31" i="2"/>
  <c r="D30" i="2"/>
  <c r="E30" i="2" s="1"/>
  <c r="K12" i="1"/>
  <c r="D37" i="2" s="1"/>
  <c r="G10" i="1"/>
  <c r="F4" i="1"/>
  <c r="G4" i="1" s="1"/>
  <c r="G5" i="1" l="1"/>
  <c r="E29" i="2" l="1"/>
  <c r="E28" i="2"/>
  <c r="E31" i="2"/>
  <c r="C29" i="2" l="1"/>
  <c r="C31" i="2"/>
  <c r="C30" i="2"/>
</calcChain>
</file>

<file path=xl/sharedStrings.xml><?xml version="1.0" encoding="utf-8"?>
<sst xmlns="http://schemas.openxmlformats.org/spreadsheetml/2006/main" count="171" uniqueCount="139">
  <si>
    <t>CUSTOMER INPUTS</t>
  </si>
  <si>
    <t>Current Fleet Size (# of Units):</t>
  </si>
  <si>
    <t>% Flooded Batteries (Reliamax) used in Fleet</t>
  </si>
  <si>
    <t>TradeCycle (# Years Reefer is Kept)</t>
  </si>
  <si>
    <t>% AGM Batteries (EON) used in Fleet</t>
  </si>
  <si>
    <t>How many hrs per year do your reefer units run?</t>
  </si>
  <si>
    <r>
      <t xml:space="preserve">On average, how many </t>
    </r>
    <r>
      <rPr>
        <b/>
        <sz val="12"/>
        <color theme="1"/>
        <rFont val="Calibri"/>
        <family val="2"/>
        <scheme val="minor"/>
      </rPr>
      <t>months</t>
    </r>
    <r>
      <rPr>
        <sz val="12"/>
        <color theme="1"/>
        <rFont val="Calibri"/>
        <family val="2"/>
        <scheme val="minor"/>
      </rPr>
      <t xml:space="preserve"> do your Flooded (Reliamax) batteries last? (If not Applicable, leave blank)</t>
    </r>
  </si>
  <si>
    <r>
      <t>Per map to the right, which region do the units operate in?
*</t>
    </r>
    <r>
      <rPr>
        <i/>
        <sz val="12"/>
        <color theme="1"/>
        <rFont val="Calibri"/>
        <family val="2"/>
        <scheme val="minor"/>
      </rPr>
      <t xml:space="preserve"> If in multiple regions, choose the most used</t>
    </r>
  </si>
  <si>
    <r>
      <t xml:space="preserve">On average, how many </t>
    </r>
    <r>
      <rPr>
        <b/>
        <sz val="12"/>
        <color theme="1"/>
        <rFont val="Calibri"/>
        <family val="2"/>
        <scheme val="minor"/>
      </rPr>
      <t>months</t>
    </r>
    <r>
      <rPr>
        <sz val="12"/>
        <color theme="1"/>
        <rFont val="Calibri"/>
        <family val="2"/>
        <scheme val="minor"/>
      </rPr>
      <t xml:space="preserve"> do your AGM (EON) batteries last? (If not Applicable, leave blank)</t>
    </r>
  </si>
  <si>
    <t>What do you pay for diesel fuel per gallon?</t>
  </si>
  <si>
    <t>What unit type is the panel going on?</t>
  </si>
  <si>
    <t>Precedent</t>
  </si>
  <si>
    <r>
      <t xml:space="preserve">What is the cost per hour of asset downtime?
</t>
    </r>
    <r>
      <rPr>
        <i/>
        <sz val="11"/>
        <color theme="1"/>
        <rFont val="Calibri"/>
        <family val="2"/>
        <scheme val="minor"/>
      </rPr>
      <t>*Industry average is $125/hr</t>
    </r>
  </si>
  <si>
    <t>Recommended Panel Size and Part Number</t>
  </si>
  <si>
    <r>
      <t xml:space="preserve">How many </t>
    </r>
    <r>
      <rPr>
        <b/>
        <sz val="12"/>
        <color theme="1"/>
        <rFont val="Calibri"/>
        <family val="2"/>
        <scheme val="minor"/>
      </rPr>
      <t>hours</t>
    </r>
    <r>
      <rPr>
        <sz val="12"/>
        <color theme="1"/>
        <rFont val="Calibri"/>
        <family val="2"/>
        <scheme val="minor"/>
      </rPr>
      <t xml:space="preserve"> of downtime do your drivers experience during </t>
    </r>
    <r>
      <rPr>
        <b/>
        <sz val="12"/>
        <color theme="1"/>
        <rFont val="Calibri"/>
        <family val="2"/>
        <scheme val="minor"/>
      </rPr>
      <t xml:space="preserve">each </t>
    </r>
    <r>
      <rPr>
        <sz val="12"/>
        <color theme="1"/>
        <rFont val="Calibri"/>
        <family val="2"/>
        <scheme val="minor"/>
      </rPr>
      <t xml:space="preserve">battery failure </t>
    </r>
    <r>
      <rPr>
        <i/>
        <sz val="11"/>
        <color theme="1"/>
        <rFont val="Calibri"/>
        <family val="2"/>
        <scheme val="minor"/>
      </rPr>
      <t>*Industry average is 4hrs</t>
    </r>
  </si>
  <si>
    <r>
      <t xml:space="preserve">Quoted Solar Full Customer Install Cost / </t>
    </r>
    <r>
      <rPr>
        <sz val="12"/>
        <color theme="4"/>
        <rFont val="Calibri"/>
        <family val="2"/>
        <scheme val="minor"/>
      </rPr>
      <t>after 26% Federal Tax Credit</t>
    </r>
  </si>
  <si>
    <t>SAVINGS OUTPUTS</t>
  </si>
  <si>
    <t>Flooded (Reliamax) battery life improvement (months)</t>
  </si>
  <si>
    <t>*Additional life gained on this battery based on historical field data on national fleets</t>
  </si>
  <si>
    <t>AGM (EON) battery life improvement (months)</t>
  </si>
  <si>
    <t>Annual Asset Uptime Revenue Improvement Per Unit</t>
  </si>
  <si>
    <t>*Calculated using battery uptime improvement x downtime cost x downtime hrs</t>
  </si>
  <si>
    <t>Annual Battery Cost Savings per Unit</t>
  </si>
  <si>
    <t>*Calculated based on battery life improvement resulting in less annual battery replacements
*Includes estimated battery unit cost &amp; average labor time &amp; rate</t>
  </si>
  <si>
    <t>Annual Cycle Sentry Fuel Savings Per Unit</t>
  </si>
  <si>
    <t>*Results from less Cycle Sentry Battery Charging Runtime per national fleet data</t>
  </si>
  <si>
    <t>Annual Engine Load Fuel Savings</t>
  </si>
  <si>
    <t>*Results from greater fuel efficiency due to less engine load to charge battery</t>
  </si>
  <si>
    <t>Low Estimate 
(-30%)</t>
  </si>
  <si>
    <t>Average Estimate</t>
  </si>
  <si>
    <t>High Estimate 
(+30%)</t>
  </si>
  <si>
    <t>Annual Per Unit Cost Savings</t>
  </si>
  <si>
    <t>*Downtime improvement + battery cost savings + fuel savings</t>
  </si>
  <si>
    <t>Annual Fleetwide Revenue and Cost improvement</t>
  </si>
  <si>
    <t>*Annual improvement x fleet size</t>
  </si>
  <si>
    <t>Net Savings Over Life of Unit</t>
  </si>
  <si>
    <t>*Annual Improvement x Tradecycle - Solar install cost</t>
  </si>
  <si>
    <t>Solar Installation Payback Period (months)</t>
  </si>
  <si>
    <t>CALCULATOR NOTES</t>
  </si>
  <si>
    <t xml:space="preserve">                Calculator based on high asset utilization. Extended unit off time will severely reduce battery life and greatly increase the solar value proposition beyond these results.</t>
  </si>
  <si>
    <t>Above figures do not include benefits of improved customer satisfaction and driver retention due to asset uptime &amp; reliability</t>
  </si>
  <si>
    <t xml:space="preserve">A solar charger will generally prevent the need for greater than 37amp alternator </t>
  </si>
  <si>
    <t>ENVIRONMENTAL SAVINGS</t>
  </si>
  <si>
    <t>Fleetwide Lbs of Lead Saved Annually:</t>
  </si>
  <si>
    <t>Fleetwide Gallons of Fuel Saved Annually:</t>
  </si>
  <si>
    <t>Lbs of CO2 Emissions Saved Annually:</t>
  </si>
  <si>
    <t>Current State</t>
  </si>
  <si>
    <t>Tradecycle (yrs)</t>
  </si>
  <si>
    <t>Battery Type</t>
  </si>
  <si>
    <t>Battery Life (months)</t>
  </si>
  <si>
    <t># batteries needed over trade cycle</t>
  </si>
  <si>
    <t>Battery cost</t>
  </si>
  <si>
    <t>Replacement Cost w/ labor</t>
  </si>
  <si>
    <t>Total Tradecycle cost</t>
  </si>
  <si>
    <t>Total Fleet Lifecycle cost</t>
  </si>
  <si>
    <t>Battery failures/year</t>
  </si>
  <si>
    <t>Fleet Size</t>
  </si>
  <si>
    <t>Reliamax</t>
  </si>
  <si>
    <t>solar cost</t>
  </si>
  <si>
    <t>EON</t>
  </si>
  <si>
    <t>Additional Labor</t>
  </si>
  <si>
    <t>Battery Life Correction factor</t>
  </si>
  <si>
    <t>WITH SOLAR</t>
  </si>
  <si>
    <t>New Battery Life (months)</t>
  </si>
  <si>
    <t>Failures/year improvement</t>
  </si>
  <si>
    <t>lbs lead saved</t>
  </si>
  <si>
    <t>SB</t>
  </si>
  <si>
    <t>weighted falure improvement</t>
  </si>
  <si>
    <t>Reliamax warranty correction factor</t>
  </si>
  <si>
    <t>Carrier</t>
  </si>
  <si>
    <t>EON warranty correction factor</t>
  </si>
  <si>
    <t>Rail SB w/ Intermodal Guard</t>
  </si>
  <si>
    <t>Domestic Rail Container (DRC) (Precedent or SB)</t>
  </si>
  <si>
    <t>Truck (e.g. T-880)</t>
  </si>
  <si>
    <t>US</t>
  </si>
  <si>
    <t>Canada</t>
  </si>
  <si>
    <t>All NA</t>
  </si>
  <si>
    <t>Current Fleet Size (# of Liftgates):</t>
  </si>
  <si>
    <t>How many batteries does the liftgate system use?</t>
  </si>
  <si>
    <t>Liftgate LifeCycle (# years)</t>
  </si>
  <si>
    <t>What battery type are the liftgate batteries?</t>
  </si>
  <si>
    <t>Deep Cycle/AGM</t>
  </si>
  <si>
    <t>What is the liftgate recharging source?</t>
  </si>
  <si>
    <t>Semi-Tractor</t>
  </si>
  <si>
    <t>What is the cost of each liftgate battery?</t>
  </si>
  <si>
    <t>Per map to the right, which region do the units operate in?
*If operating in multiple regions choose the lowest number</t>
  </si>
  <si>
    <t>How many units experience battery failures annually?</t>
  </si>
  <si>
    <r>
      <t xml:space="preserve">       On average, how many </t>
    </r>
    <r>
      <rPr>
        <b/>
        <sz val="12"/>
        <color theme="1"/>
        <rFont val="Calibri"/>
        <family val="2"/>
        <scheme val="minor"/>
      </rPr>
      <t>MONTHS</t>
    </r>
    <r>
      <rPr>
        <sz val="12"/>
        <color theme="1"/>
        <rFont val="Calibri"/>
        <family val="2"/>
        <scheme val="minor"/>
      </rPr>
      <t xml:space="preserve"> do your liftgate batteries last?</t>
    </r>
  </si>
  <si>
    <r>
      <t xml:space="preserve">What is the cost per hour of asset downtime?
</t>
    </r>
    <r>
      <rPr>
        <i/>
        <sz val="11"/>
        <color theme="1"/>
        <rFont val="Calibri"/>
        <family val="2"/>
        <scheme val="minor"/>
      </rPr>
      <t>*Industry Average is $125/hr</t>
    </r>
  </si>
  <si>
    <t>Based on user info, this is the system size (W) recommended</t>
  </si>
  <si>
    <t>On average, how many hours of downtime do your units experience during each battery failure?</t>
  </si>
  <si>
    <t>Part Numbers Needed</t>
  </si>
  <si>
    <t>Quoted Solar Full Install Cost</t>
  </si>
  <si>
    <t>Fleet Evaluation Results (if performed)</t>
  </si>
  <si>
    <t>Was a Field Evaluation with Data logging Performed?</t>
  </si>
  <si>
    <t>Yes</t>
  </si>
  <si>
    <t xml:space="preserve">           What was the calculated baseline battery life?       (in months)</t>
  </si>
  <si>
    <t>What was the calculated future battery life? (in months)</t>
  </si>
  <si>
    <t>Flooded battery life improvement (months)</t>
  </si>
  <si>
    <t>AGM battery life improvement (months)</t>
  </si>
  <si>
    <t>*Unit Uptime increased through reduced battery failures resulting in more revenue per unit</t>
  </si>
  <si>
    <t>*Calculated using improved  battery life of all liftgate batteries resulting in less annual battery replacements
*Fleet evaluation data will override estimates if evaluation data is used</t>
  </si>
  <si>
    <t>Annual Fuel Savings Per Unit</t>
  </si>
  <si>
    <t>*Calculated using total solar system size to be installed &amp; adjusted for regional performance.  
*Solar power production offsets engine load and reduces fuel consumption, resulting in fuel savings</t>
  </si>
  <si>
    <t>Per Unit Annual Cost Savings</t>
  </si>
  <si>
    <t>Fleetwide Annual Revenue and Cost improvement</t>
  </si>
  <si>
    <t>Reefer</t>
  </si>
  <si>
    <t>Fuel calculation based on UP2 data from C600 &amp; S600 analysis</t>
  </si>
  <si>
    <t>Small Truck</t>
  </si>
  <si>
    <t>Flooded</t>
  </si>
  <si>
    <t>Results show that .05gal/hr per 1hp from alternator as well as .0444HP/amp required from the alternator</t>
  </si>
  <si>
    <t>Large Truck</t>
  </si>
  <si>
    <t>With .0444HP/amp x .05gal/hr*hp = .00222 * total amp hrs produced/year = total gals saved in year</t>
  </si>
  <si>
    <t>Early Morning</t>
  </si>
  <si>
    <t>Dawn</t>
  </si>
  <si>
    <t>Midday</t>
  </si>
  <si>
    <t>Afternoon</t>
  </si>
  <si>
    <t>No</t>
  </si>
  <si>
    <t>Dusk</t>
  </si>
  <si>
    <t>Version 1</t>
  </si>
  <si>
    <t>Initial Launch</t>
  </si>
  <si>
    <t>Version 2</t>
  </si>
  <si>
    <t>Added additional comments</t>
  </si>
  <si>
    <t>Fixed fuel savings error</t>
  </si>
  <si>
    <t>Version 3</t>
  </si>
  <si>
    <t>Fixed CO2 computation error</t>
  </si>
  <si>
    <t>Version 4</t>
  </si>
  <si>
    <t>Fixed grammatical error</t>
  </si>
  <si>
    <t>Version 5</t>
  </si>
  <si>
    <t>Added regional map</t>
  </si>
  <si>
    <t>Added fuel efficiency savings output</t>
  </si>
  <si>
    <t>Added Application and part number guide</t>
  </si>
  <si>
    <t>Added Liftgate Calculator first release</t>
  </si>
  <si>
    <t>Version 6</t>
  </si>
  <si>
    <t>Added in warranty correction factor-e.g. if battery fails in warranty period, the cost of the battery is deducted from the savings</t>
  </si>
  <si>
    <t>Version 7</t>
  </si>
  <si>
    <t>Fixed "High Estimate" bug</t>
  </si>
  <si>
    <t>Version 8</t>
  </si>
  <si>
    <t>Updated 100W sheet with terminology and visual tweaks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</si>
</sst>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0.000"/>
    <numFmt numFmtId="167" formatCode="&quot;$&quot;#,##0"/>
  </numFmts>
  <fonts count="2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Aharoni"/>
      <charset val="177"/>
    </font>
    <font>
      <b/>
      <sz val="12"/>
      <color theme="1"/>
      <name val="Calibri"/>
      <family val="2"/>
      <scheme val="minor"/>
    </font>
    <font>
      <sz val="20"/>
      <color rgb="FF00B050"/>
      <name val="Calibri"/>
      <family val="2"/>
      <scheme val="minor"/>
    </font>
    <font>
      <sz val="28"/>
      <color rgb="FF00B050"/>
      <name val="Andalus"/>
      <family val="1"/>
    </font>
    <font>
      <u/>
      <sz val="28"/>
      <color rgb="FF00B050"/>
      <name val="Andalus"/>
      <family val="1"/>
    </font>
    <font>
      <b/>
      <sz val="26"/>
      <color theme="1"/>
      <name val="Aharoni"/>
      <charset val="177"/>
    </font>
    <font>
      <i/>
      <sz val="12"/>
      <color theme="1"/>
      <name val="Calibri"/>
      <family val="2"/>
      <scheme val="minor"/>
    </font>
    <font>
      <sz val="28"/>
      <color rgb="FF00B05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8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6" fontId="0" fillId="2" borderId="0" xfId="0" applyNumberFormat="1" applyFill="1" applyAlignment="1">
      <alignment horizontal="center"/>
    </xf>
    <xf numFmtId="6" fontId="0" fillId="3" borderId="0" xfId="0" applyNumberFormat="1" applyFill="1" applyAlignment="1">
      <alignment horizontal="center"/>
    </xf>
    <xf numFmtId="165" fontId="0" fillId="0" borderId="0" xfId="1" applyNumberFormat="1" applyFont="1"/>
    <xf numFmtId="0" fontId="1" fillId="0" borderId="0" xfId="0" applyFont="1" applyAlignment="1">
      <alignment horizontal="center" wrapText="1"/>
    </xf>
    <xf numFmtId="44" fontId="0" fillId="0" borderId="0" xfId="1" applyFont="1"/>
    <xf numFmtId="44" fontId="0" fillId="0" borderId="0" xfId="0" applyNumberFormat="1"/>
    <xf numFmtId="165" fontId="6" fillId="0" borderId="0" xfId="1" applyNumberFormat="1" applyFont="1"/>
    <xf numFmtId="165" fontId="5" fillId="0" borderId="0" xfId="0" applyNumberFormat="1" applyFont="1"/>
    <xf numFmtId="0" fontId="0" fillId="0" borderId="0" xfId="0" applyAlignment="1">
      <alignment wrapText="1"/>
    </xf>
    <xf numFmtId="2" fontId="1" fillId="0" borderId="0" xfId="0" applyNumberFormat="1" applyFont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5" borderId="5" xfId="0" applyFill="1" applyBorder="1"/>
    <xf numFmtId="0" fontId="0" fillId="5" borderId="6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1" xfId="0" applyFill="1" applyBorder="1"/>
    <xf numFmtId="0" fontId="0" fillId="5" borderId="0" xfId="0" applyFill="1"/>
    <xf numFmtId="166" fontId="0" fillId="0" borderId="0" xfId="0" applyNumberFormat="1"/>
    <xf numFmtId="8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8" fontId="1" fillId="0" borderId="0" xfId="0" applyNumberFormat="1" applyFont="1"/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8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 wrapText="1"/>
    </xf>
    <xf numFmtId="0" fontId="7" fillId="8" borderId="7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/>
    </xf>
    <xf numFmtId="0" fontId="0" fillId="6" borderId="6" xfId="0" applyFill="1" applyBorder="1"/>
    <xf numFmtId="8" fontId="0" fillId="6" borderId="0" xfId="0" applyNumberFormat="1" applyFill="1"/>
    <xf numFmtId="0" fontId="8" fillId="6" borderId="6" xfId="0" applyFont="1" applyFill="1" applyBorder="1"/>
    <xf numFmtId="0" fontId="10" fillId="6" borderId="0" xfId="0" applyFont="1" applyFill="1" applyAlignment="1">
      <alignment horizontal="center"/>
    </xf>
    <xf numFmtId="0" fontId="8" fillId="6" borderId="0" xfId="0" applyFont="1" applyFill="1"/>
    <xf numFmtId="6" fontId="2" fillId="6" borderId="12" xfId="0" applyNumberFormat="1" applyFont="1" applyFill="1" applyBorder="1" applyAlignment="1">
      <alignment horizontal="center" vertical="center"/>
    </xf>
    <xf numFmtId="165" fontId="10" fillId="7" borderId="10" xfId="0" applyNumberFormat="1" applyFont="1" applyFill="1" applyBorder="1"/>
    <xf numFmtId="165" fontId="10" fillId="7" borderId="11" xfId="0" applyNumberFormat="1" applyFont="1" applyFill="1" applyBorder="1"/>
    <xf numFmtId="0" fontId="7" fillId="6" borderId="1" xfId="0" applyFont="1" applyFill="1" applyBorder="1" applyAlignment="1">
      <alignment horizontal="center" vertical="center" wrapText="1"/>
    </xf>
    <xf numFmtId="6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 wrapText="1"/>
    </xf>
    <xf numFmtId="6" fontId="2" fillId="6" borderId="0" xfId="0" applyNumberFormat="1" applyFont="1" applyFill="1" applyAlignment="1">
      <alignment horizontal="center" vertical="center"/>
    </xf>
    <xf numFmtId="6" fontId="2" fillId="6" borderId="13" xfId="0" applyNumberFormat="1" applyFont="1" applyFill="1" applyBorder="1" applyAlignment="1">
      <alignment horizontal="center" vertical="center"/>
    </xf>
    <xf numFmtId="1" fontId="2" fillId="6" borderId="10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0" fillId="6" borderId="0" xfId="0" applyFill="1"/>
    <xf numFmtId="0" fontId="2" fillId="8" borderId="0" xfId="0" applyFont="1" applyFill="1" applyAlignment="1">
      <alignment horizontal="center" vertical="center"/>
    </xf>
    <xf numFmtId="0" fontId="0" fillId="8" borderId="6" xfId="0" applyFill="1" applyBorder="1"/>
    <xf numFmtId="8" fontId="2" fillId="8" borderId="0" xfId="0" applyNumberFormat="1" applyFont="1" applyFill="1" applyAlignment="1">
      <alignment horizontal="center" vertical="center"/>
    </xf>
    <xf numFmtId="8" fontId="8" fillId="8" borderId="0" xfId="0" applyNumberFormat="1" applyFont="1" applyFill="1" applyAlignment="1">
      <alignment horizontal="left" vertical="center"/>
    </xf>
    <xf numFmtId="0" fontId="0" fillId="8" borderId="0" xfId="0" applyFill="1"/>
    <xf numFmtId="1" fontId="12" fillId="6" borderId="0" xfId="0" applyNumberFormat="1" applyFont="1" applyFill="1" applyAlignment="1">
      <alignment horizontal="center"/>
    </xf>
    <xf numFmtId="3" fontId="15" fillId="6" borderId="0" xfId="0" applyNumberFormat="1" applyFont="1" applyFill="1" applyAlignment="1">
      <alignment horizontal="left" vertical="center"/>
    </xf>
    <xf numFmtId="3" fontId="15" fillId="6" borderId="0" xfId="0" applyNumberFormat="1" applyFont="1" applyFill="1" applyAlignment="1">
      <alignment horizontal="center" vertical="center"/>
    </xf>
    <xf numFmtId="3" fontId="15" fillId="6" borderId="8" xfId="0" applyNumberFormat="1" applyFont="1" applyFill="1" applyBorder="1" applyAlignment="1">
      <alignment horizontal="center" vertical="center"/>
    </xf>
    <xf numFmtId="0" fontId="0" fillId="6" borderId="9" xfId="0" applyFill="1" applyBorder="1"/>
    <xf numFmtId="164" fontId="0" fillId="0" borderId="0" xfId="0" applyNumberFormat="1"/>
    <xf numFmtId="165" fontId="2" fillId="4" borderId="10" xfId="0" applyNumberFormat="1" applyFont="1" applyFill="1" applyBorder="1"/>
    <xf numFmtId="165" fontId="2" fillId="4" borderId="1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18" fillId="6" borderId="0" xfId="0" applyFont="1" applyFill="1" applyAlignment="1">
      <alignment horizontal="left" vertical="center"/>
    </xf>
    <xf numFmtId="6" fontId="7" fillId="6" borderId="0" xfId="0" applyNumberFormat="1" applyFont="1" applyFill="1" applyAlignment="1">
      <alignment horizontal="center" vertical="center"/>
    </xf>
    <xf numFmtId="0" fontId="18" fillId="6" borderId="0" xfId="0" applyFont="1" applyFill="1"/>
    <xf numFmtId="0" fontId="18" fillId="6" borderId="0" xfId="0" applyFont="1" applyFill="1" applyAlignment="1">
      <alignment vertical="center"/>
    </xf>
    <xf numFmtId="8" fontId="7" fillId="6" borderId="0" xfId="0" applyNumberFormat="1" applyFont="1" applyFill="1" applyAlignment="1">
      <alignment vertical="center"/>
    </xf>
    <xf numFmtId="8" fontId="7" fillId="6" borderId="0" xfId="0" applyNumberFormat="1" applyFont="1" applyFill="1"/>
    <xf numFmtId="165" fontId="7" fillId="6" borderId="0" xfId="1" applyNumberFormat="1" applyFont="1" applyFill="1" applyBorder="1" applyAlignment="1" applyProtection="1">
      <alignment horizontal="center" vertical="center"/>
    </xf>
    <xf numFmtId="0" fontId="18" fillId="6" borderId="6" xfId="0" applyFont="1" applyFill="1" applyBorder="1"/>
    <xf numFmtId="1" fontId="17" fillId="4" borderId="14" xfId="0" applyNumberFormat="1" applyFont="1" applyFill="1" applyBorder="1" applyAlignment="1">
      <alignment horizontal="center"/>
    </xf>
    <xf numFmtId="1" fontId="12" fillId="7" borderId="14" xfId="0" applyNumberFormat="1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8" fontId="8" fillId="8" borderId="8" xfId="0" applyNumberFormat="1" applyFont="1" applyFill="1" applyBorder="1" applyAlignment="1">
      <alignment horizontal="left" vertical="center"/>
    </xf>
    <xf numFmtId="0" fontId="0" fillId="8" borderId="8" xfId="0" applyFill="1" applyBorder="1"/>
    <xf numFmtId="0" fontId="2" fillId="5" borderId="13" xfId="0" applyFont="1" applyFill="1" applyBorder="1" applyAlignment="1" applyProtection="1">
      <alignment horizontal="center" vertical="center"/>
      <protection locked="0"/>
    </xf>
    <xf numFmtId="6" fontId="7" fillId="6" borderId="6" xfId="0" applyNumberFormat="1" applyFont="1" applyFill="1" applyBorder="1" applyAlignment="1">
      <alignment horizontal="center" vertical="center"/>
    </xf>
    <xf numFmtId="8" fontId="7" fillId="6" borderId="6" xfId="0" applyNumberFormat="1" applyFont="1" applyFill="1" applyBorder="1"/>
    <xf numFmtId="0" fontId="18" fillId="6" borderId="6" xfId="0" applyFont="1" applyFill="1" applyBorder="1" applyAlignment="1">
      <alignment horizontal="left" vertical="center" wrapText="1"/>
    </xf>
    <xf numFmtId="165" fontId="7" fillId="6" borderId="6" xfId="1" applyNumberFormat="1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 vertical="center" wrapText="1"/>
    </xf>
    <xf numFmtId="1" fontId="17" fillId="4" borderId="12" xfId="0" applyNumberFormat="1" applyFont="1" applyFill="1" applyBorder="1" applyAlignment="1">
      <alignment horizontal="center"/>
    </xf>
    <xf numFmtId="1" fontId="12" fillId="7" borderId="12" xfId="0" applyNumberFormat="1" applyFont="1" applyFill="1" applyBorder="1" applyAlignment="1">
      <alignment horizontal="center"/>
    </xf>
    <xf numFmtId="1" fontId="12" fillId="6" borderId="8" xfId="0" applyNumberFormat="1" applyFont="1" applyFill="1" applyBorder="1" applyAlignment="1">
      <alignment horizontal="center"/>
    </xf>
    <xf numFmtId="1" fontId="12" fillId="6" borderId="9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167" fontId="2" fillId="5" borderId="11" xfId="1" applyNumberFormat="1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>
      <alignment horizontal="center" vertical="center"/>
    </xf>
    <xf numFmtId="165" fontId="10" fillId="4" borderId="10" xfId="0" applyNumberFormat="1" applyFont="1" applyFill="1" applyBorder="1"/>
    <xf numFmtId="165" fontId="10" fillId="4" borderId="11" xfId="0" applyNumberFormat="1" applyFont="1" applyFill="1" applyBorder="1"/>
    <xf numFmtId="165" fontId="20" fillId="7" borderId="10" xfId="0" applyNumberFormat="1" applyFont="1" applyFill="1" applyBorder="1"/>
    <xf numFmtId="44" fontId="20" fillId="7" borderId="11" xfId="0" applyNumberFormat="1" applyFont="1" applyFill="1" applyBorder="1"/>
    <xf numFmtId="8" fontId="8" fillId="8" borderId="7" xfId="0" applyNumberFormat="1" applyFont="1" applyFill="1" applyBorder="1" applyAlignment="1">
      <alignment horizontal="left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8" fontId="10" fillId="5" borderId="11" xfId="0" applyNumberFormat="1" applyFont="1" applyFill="1" applyBorder="1" applyAlignment="1" applyProtection="1">
      <alignment horizontal="center" vertical="center"/>
      <protection locked="0"/>
    </xf>
    <xf numFmtId="6" fontId="10" fillId="5" borderId="11" xfId="0" applyNumberFormat="1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6" fontId="10" fillId="5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7" fillId="8" borderId="0" xfId="0" applyFont="1" applyFill="1" applyAlignment="1">
      <alignment vertical="center" wrapText="1"/>
    </xf>
    <xf numFmtId="1" fontId="2" fillId="8" borderId="13" xfId="0" applyNumberFormat="1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vertical="center" wrapText="1"/>
    </xf>
    <xf numFmtId="8" fontId="2" fillId="8" borderId="8" xfId="0" applyNumberFormat="1" applyFont="1" applyFill="1" applyBorder="1" applyAlignment="1">
      <alignment horizontal="center" vertical="center"/>
    </xf>
    <xf numFmtId="6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6" fontId="22" fillId="10" borderId="15" xfId="0" applyNumberFormat="1" applyFont="1" applyFill="1" applyBorder="1" applyAlignment="1">
      <alignment horizontal="center" vertical="center"/>
    </xf>
    <xf numFmtId="3" fontId="16" fillId="6" borderId="8" xfId="0" applyNumberFormat="1" applyFont="1" applyFill="1" applyBorder="1" applyAlignment="1">
      <alignment horizontal="left" vertical="center"/>
    </xf>
    <xf numFmtId="3" fontId="16" fillId="6" borderId="0" xfId="0" applyNumberFormat="1" applyFont="1" applyFill="1" applyAlignment="1">
      <alignment horizontal="left" vertical="center"/>
    </xf>
    <xf numFmtId="0" fontId="14" fillId="6" borderId="1" xfId="0" applyFont="1" applyFill="1" applyBorder="1" applyAlignment="1">
      <alignment horizontal="right" vertical="center"/>
    </xf>
    <xf numFmtId="0" fontId="14" fillId="6" borderId="0" xfId="0" applyFont="1" applyFill="1" applyAlignment="1">
      <alignment horizontal="right" vertical="center"/>
    </xf>
    <xf numFmtId="0" fontId="14" fillId="6" borderId="7" xfId="0" applyFont="1" applyFill="1" applyBorder="1" applyAlignment="1">
      <alignment horizontal="right" vertical="center"/>
    </xf>
    <xf numFmtId="0" fontId="14" fillId="6" borderId="8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 vertical="center" wrapText="1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7" fillId="8" borderId="0" xfId="0" applyFont="1" applyFill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20" xfId="0" applyFont="1" applyFill="1" applyBorder="1" applyAlignment="1">
      <alignment horizontal="left" vertical="center" wrapText="1"/>
    </xf>
    <xf numFmtId="0" fontId="7" fillId="8" borderId="19" xfId="0" applyFont="1" applyFill="1" applyBorder="1" applyAlignment="1">
      <alignment horizontal="left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7" fillId="8" borderId="0" xfId="0" applyFont="1" applyFill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/>
    </xf>
    <xf numFmtId="0" fontId="18" fillId="6" borderId="0" xfId="0" applyFont="1" applyFill="1" applyAlignment="1">
      <alignment horizontal="left" vertical="center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1">
    <dxf>
      <fill>
        <patternFill patternType="lightDown"/>
      </fill>
    </dxf>
  </dxfs>
  <tableStyles count="0" defaultTableStyle="TableStyleMedium2" defaultPivotStyle="PivotStyleLight16"/>
  <colors>
    <mruColors>
      <color rgb="FFF7FBD1"/>
      <color rgb="FF8EE989"/>
      <color rgb="FFD7EBF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552449</xdr:colOff>
      <xdr:row>1</xdr:row>
      <xdr:rowOff>6382</xdr:rowOff>
    </xdr:from>
    <xdr:to>
      <xdr:col>7</xdr:col>
      <xdr:colOff>1045415</xdr:colOff>
      <xdr:row>5</xdr:row>
      <xdr:rowOff>1457139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567" y="208088"/>
          <a:ext cx="11930903" cy="2219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1255058</xdr:colOff>
      <xdr:row>7</xdr:row>
      <xdr:rowOff>19050</xdr:rowOff>
    </xdr:from>
    <xdr:to>
      <xdr:col>8</xdr:col>
      <xdr:colOff>436471</xdr:colOff>
      <xdr:row>8</xdr:row>
      <xdr:rowOff>361950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138646" y="2910168"/>
          <a:ext cx="503707" cy="735106"/>
        </a:xfrm>
        <a:prstGeom prst="rightBrace">
          <a:avLst>
            <a:gd name="adj1" fmla="val 8333"/>
            <a:gd name="adj2" fmla="val 4719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381000</xdr:colOff>
      <xdr:row>7</xdr:row>
      <xdr:rowOff>22411</xdr:rowOff>
    </xdr:from>
    <xdr:to>
      <xdr:col>8</xdr:col>
      <xdr:colOff>1466850</xdr:colOff>
      <xdr:row>9</xdr:row>
      <xdr:rowOff>44823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547912" y="2913529"/>
          <a:ext cx="1085850" cy="8068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chemeClr val="tx2">
                  <a:lumMod val="60000"/>
                  <a:lumOff val="40000"/>
                </a:schemeClr>
              </a:solidFill>
            </a:rPr>
            <a:t>These</a:t>
          </a:r>
          <a:r>
            <a:rPr lang="en-US" sz="1400" baseline="0">
              <a:solidFill>
                <a:schemeClr val="tx2">
                  <a:lumMod val="60000"/>
                  <a:lumOff val="40000"/>
                </a:schemeClr>
              </a:solidFill>
            </a:rPr>
            <a:t> must add up to 100%</a:t>
          </a:r>
          <a:endParaRPr lang="en-US" sz="14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19051</xdr:colOff>
      <xdr:row>7</xdr:row>
      <xdr:rowOff>137263</xdr:rowOff>
    </xdr:from>
    <xdr:to>
      <xdr:col>4</xdr:col>
      <xdr:colOff>1704976</xdr:colOff>
      <xdr:row>13</xdr:row>
      <xdr:rowOff>196850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551" y="3026513"/>
          <a:ext cx="3409950" cy="3129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923060</xdr:colOff>
      <xdr:row>7</xdr:row>
      <xdr:rowOff>365223</xdr:rowOff>
    </xdr:from>
    <xdr:ext cx="444673" cy="718466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42835" y="3251298"/>
          <a:ext cx="444673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1</a:t>
          </a:r>
        </a:p>
      </xdr:txBody>
    </xdr:sp>
    <xdr:clientData/>
  </xdr:oneCellAnchor>
  <xdr:oneCellAnchor>
    <xdr:from>
      <xdr:col>3</xdr:col>
      <xdr:colOff>1834659</xdr:colOff>
      <xdr:row>10</xdr:row>
      <xdr:rowOff>24565</xdr:rowOff>
    </xdr:from>
    <xdr:ext cx="444673" cy="718466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654434" y="4263190"/>
          <a:ext cx="444673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2</a:t>
          </a:r>
        </a:p>
      </xdr:txBody>
    </xdr:sp>
    <xdr:clientData/>
  </xdr:oneCellAnchor>
  <xdr:oneCellAnchor>
    <xdr:from>
      <xdr:col>4</xdr:col>
      <xdr:colOff>288248</xdr:colOff>
      <xdr:row>11</xdr:row>
      <xdr:rowOff>203707</xdr:rowOff>
    </xdr:from>
    <xdr:ext cx="421802" cy="718466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946348" y="4994782"/>
          <a:ext cx="42180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3</a:t>
          </a:r>
        </a:p>
      </xdr:txBody>
    </xdr:sp>
    <xdr:clientData/>
  </xdr:oneCellAnchor>
  <xdr:oneCellAnchor>
    <xdr:from>
      <xdr:col>3</xdr:col>
      <xdr:colOff>1314145</xdr:colOff>
      <xdr:row>11</xdr:row>
      <xdr:rowOff>359062</xdr:rowOff>
    </xdr:from>
    <xdr:ext cx="444673" cy="718466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33920" y="5150137"/>
          <a:ext cx="444673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5</a:t>
          </a:r>
        </a:p>
      </xdr:txBody>
    </xdr:sp>
    <xdr:clientData/>
  </xdr:oneCellAnchor>
  <xdr:oneCellAnchor>
    <xdr:from>
      <xdr:col>3</xdr:col>
      <xdr:colOff>865576</xdr:colOff>
      <xdr:row>11</xdr:row>
      <xdr:rowOff>76114</xdr:rowOff>
    </xdr:from>
    <xdr:ext cx="392672" cy="593304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85351" y="4867189"/>
          <a:ext cx="39267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4</a:t>
          </a:r>
        </a:p>
      </xdr:txBody>
    </xdr:sp>
    <xdr:clientData/>
  </xdr:oneCellAnchor>
  <xdr:oneCellAnchor>
    <xdr:from>
      <xdr:col>4</xdr:col>
      <xdr:colOff>1084651</xdr:colOff>
      <xdr:row>12</xdr:row>
      <xdr:rowOff>257089</xdr:rowOff>
    </xdr:from>
    <xdr:ext cx="392672" cy="593304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742751" y="5495839"/>
          <a:ext cx="39267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552449</xdr:colOff>
      <xdr:row>1</xdr:row>
      <xdr:rowOff>6382</xdr:rowOff>
    </xdr:from>
    <xdr:to>
      <xdr:col>6</xdr:col>
      <xdr:colOff>2689411</xdr:colOff>
      <xdr:row>5</xdr:row>
      <xdr:rowOff>1463489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206407"/>
          <a:ext cx="11926981" cy="2219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31749</xdr:colOff>
      <xdr:row>6</xdr:row>
      <xdr:rowOff>391583</xdr:rowOff>
    </xdr:from>
    <xdr:to>
      <xdr:col>5</xdr:col>
      <xdr:colOff>3174</xdr:colOff>
      <xdr:row>14</xdr:row>
      <xdr:rowOff>285749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5666" y="2878666"/>
          <a:ext cx="3538008" cy="307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920662</xdr:colOff>
      <xdr:row>8</xdr:row>
      <xdr:rowOff>41054</xdr:rowOff>
    </xdr:from>
    <xdr:ext cx="444673" cy="71846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89133" y="3324378"/>
          <a:ext cx="444673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1</a:t>
          </a:r>
        </a:p>
      </xdr:txBody>
    </xdr:sp>
    <xdr:clientData/>
  </xdr:oneCellAnchor>
  <xdr:oneCellAnchor>
    <xdr:from>
      <xdr:col>4</xdr:col>
      <xdr:colOff>467944</xdr:colOff>
      <xdr:row>10</xdr:row>
      <xdr:rowOff>294308</xdr:rowOff>
    </xdr:from>
    <xdr:ext cx="444673" cy="718466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863826" y="4362043"/>
          <a:ext cx="444673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2</a:t>
          </a:r>
        </a:p>
      </xdr:txBody>
    </xdr:sp>
    <xdr:clientData/>
  </xdr:oneCellAnchor>
  <xdr:oneCellAnchor>
    <xdr:from>
      <xdr:col>4</xdr:col>
      <xdr:colOff>124797</xdr:colOff>
      <xdr:row>12</xdr:row>
      <xdr:rowOff>139453</xdr:rowOff>
    </xdr:from>
    <xdr:ext cx="421802" cy="718466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64880" y="4986620"/>
          <a:ext cx="42180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3</a:t>
          </a:r>
        </a:p>
      </xdr:txBody>
    </xdr:sp>
    <xdr:clientData/>
  </xdr:oneCellAnchor>
  <xdr:oneCellAnchor>
    <xdr:from>
      <xdr:col>3</xdr:col>
      <xdr:colOff>1254597</xdr:colOff>
      <xdr:row>12</xdr:row>
      <xdr:rowOff>341374</xdr:rowOff>
    </xdr:from>
    <xdr:ext cx="444673" cy="718466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734273" y="5193521"/>
          <a:ext cx="444673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5</a:t>
          </a:r>
        </a:p>
      </xdr:txBody>
    </xdr:sp>
    <xdr:clientData/>
  </xdr:oneCellAnchor>
  <xdr:oneCellAnchor>
    <xdr:from>
      <xdr:col>3</xdr:col>
      <xdr:colOff>872703</xdr:colOff>
      <xdr:row>11</xdr:row>
      <xdr:rowOff>314481</xdr:rowOff>
    </xdr:from>
    <xdr:ext cx="39267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352379" y="4774422"/>
          <a:ext cx="39267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4</a:t>
          </a:r>
        </a:p>
      </xdr:txBody>
    </xdr:sp>
    <xdr:clientData/>
  </xdr:oneCellAnchor>
  <xdr:oneCellAnchor>
    <xdr:from>
      <xdr:col>4</xdr:col>
      <xdr:colOff>923129</xdr:colOff>
      <xdr:row>13</xdr:row>
      <xdr:rowOff>107171</xdr:rowOff>
    </xdr:from>
    <xdr:ext cx="392672" cy="593304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63212" y="5345921"/>
          <a:ext cx="39267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60" zoomScaleNormal="60" workbookViewId="0">
      <selection activeCell="H10" sqref="H10"/>
    </sheetView>
  </sheetViews>
  <sheetFormatPr defaultColWidth="9.140625" defaultRowHeight="15"/>
  <cols>
    <col min="1" max="1" width="3.42578125" customWidth="1"/>
    <col min="2" max="2" width="57.28515625" customWidth="1"/>
    <col min="3" max="5" width="25.85546875" customWidth="1"/>
    <col min="6" max="6" width="22" customWidth="1"/>
    <col min="7" max="7" width="14.5703125" customWidth="1"/>
    <col min="8" max="8" width="19.85546875" customWidth="1"/>
    <col min="9" max="9" width="22" customWidth="1"/>
    <col min="10" max="11" width="52.140625" customWidth="1"/>
  </cols>
  <sheetData>
    <row r="1" spans="1:11" ht="15.75" thickBo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>
      <c r="A2" s="55"/>
      <c r="B2" s="24"/>
      <c r="C2" s="25"/>
      <c r="D2" s="25"/>
      <c r="E2" s="25"/>
      <c r="F2" s="25"/>
      <c r="G2" s="25"/>
      <c r="H2" s="25"/>
      <c r="I2" s="22"/>
      <c r="J2" s="55"/>
      <c r="K2" s="55"/>
    </row>
    <row r="3" spans="1:11">
      <c r="A3" s="55"/>
      <c r="B3" s="26"/>
      <c r="C3" s="27"/>
      <c r="D3" s="27"/>
      <c r="E3" s="27"/>
      <c r="F3" s="27"/>
      <c r="G3" s="27"/>
      <c r="H3" s="27"/>
      <c r="I3" s="23"/>
      <c r="J3" s="55"/>
      <c r="K3" s="55"/>
    </row>
    <row r="4" spans="1:11">
      <c r="A4" s="55"/>
      <c r="B4" s="26"/>
      <c r="C4" s="27"/>
      <c r="D4" s="27"/>
      <c r="E4" s="27"/>
      <c r="F4" s="27"/>
      <c r="G4" s="27"/>
      <c r="H4" s="27"/>
      <c r="I4" s="23"/>
      <c r="J4" s="55"/>
      <c r="K4" s="55"/>
    </row>
    <row r="5" spans="1:11">
      <c r="A5" s="55"/>
      <c r="B5" s="26"/>
      <c r="C5" s="27"/>
      <c r="D5" s="27"/>
      <c r="E5" s="27"/>
      <c r="F5" s="27"/>
      <c r="G5" s="27"/>
      <c r="H5" s="27"/>
      <c r="I5" s="23"/>
      <c r="J5" s="55"/>
      <c r="K5" s="55"/>
    </row>
    <row r="6" spans="1:11" ht="120" customHeight="1" thickBot="1">
      <c r="A6" s="55"/>
      <c r="B6" s="26"/>
      <c r="C6" s="27"/>
      <c r="D6" s="27"/>
      <c r="E6" s="27"/>
      <c r="F6" s="27"/>
      <c r="G6" s="27"/>
      <c r="H6" s="27"/>
      <c r="I6" s="23"/>
      <c r="J6" s="55"/>
      <c r="K6" s="55"/>
    </row>
    <row r="7" spans="1:11" ht="31.5" customHeight="1" thickBot="1">
      <c r="A7" s="55"/>
      <c r="B7" s="155" t="s">
        <v>0</v>
      </c>
      <c r="C7" s="156"/>
      <c r="D7" s="156"/>
      <c r="E7" s="156"/>
      <c r="F7" s="156"/>
      <c r="G7" s="156"/>
      <c r="H7" s="156"/>
      <c r="I7" s="157"/>
      <c r="J7" s="55"/>
      <c r="K7" s="55"/>
    </row>
    <row r="8" spans="1:11" ht="30.75" customHeight="1">
      <c r="A8" s="55"/>
      <c r="B8" s="36" t="s">
        <v>1</v>
      </c>
      <c r="C8" s="107">
        <v>500</v>
      </c>
      <c r="D8" s="56"/>
      <c r="E8" s="56"/>
      <c r="F8" s="158" t="s">
        <v>2</v>
      </c>
      <c r="G8" s="159"/>
      <c r="H8" s="108">
        <v>100</v>
      </c>
      <c r="I8" s="57"/>
      <c r="J8" s="55"/>
      <c r="K8" s="55"/>
    </row>
    <row r="9" spans="1:11" ht="30.75" customHeight="1">
      <c r="A9" s="55"/>
      <c r="B9" s="36" t="s">
        <v>3</v>
      </c>
      <c r="C9" s="108">
        <v>7</v>
      </c>
      <c r="D9" s="56"/>
      <c r="E9" s="56"/>
      <c r="F9" s="158" t="s">
        <v>4</v>
      </c>
      <c r="G9" s="159"/>
      <c r="H9" s="108">
        <v>0</v>
      </c>
      <c r="I9" s="57"/>
      <c r="J9" s="55"/>
      <c r="K9" s="55"/>
    </row>
    <row r="10" spans="1:11" ht="45" customHeight="1">
      <c r="A10" s="55"/>
      <c r="B10" s="37" t="s">
        <v>5</v>
      </c>
      <c r="C10" s="108">
        <v>2000</v>
      </c>
      <c r="D10" s="56"/>
      <c r="E10" s="56"/>
      <c r="F10" s="160" t="s">
        <v>6</v>
      </c>
      <c r="G10" s="161"/>
      <c r="H10" s="108">
        <v>18</v>
      </c>
      <c r="I10" s="57"/>
      <c r="J10" s="55"/>
      <c r="K10" s="55"/>
    </row>
    <row r="11" spans="1:11" ht="62.25" customHeight="1" thickBot="1">
      <c r="A11" s="55"/>
      <c r="B11" s="37" t="s">
        <v>7</v>
      </c>
      <c r="C11" s="108">
        <v>3</v>
      </c>
      <c r="D11" s="58"/>
      <c r="E11" s="58"/>
      <c r="F11" s="160" t="s">
        <v>8</v>
      </c>
      <c r="G11" s="161"/>
      <c r="H11" s="112"/>
      <c r="I11" s="57"/>
      <c r="J11" s="55"/>
      <c r="K11" s="55"/>
    </row>
    <row r="12" spans="1:11" ht="35.25" customHeight="1" thickBot="1">
      <c r="A12" s="55"/>
      <c r="B12" s="36" t="s">
        <v>9</v>
      </c>
      <c r="C12" s="109">
        <v>5</v>
      </c>
      <c r="D12" s="58"/>
      <c r="E12" s="58"/>
      <c r="F12" s="158" t="s">
        <v>10</v>
      </c>
      <c r="G12" s="159"/>
      <c r="H12" s="162" t="s">
        <v>11</v>
      </c>
      <c r="I12" s="163"/>
      <c r="J12" s="55"/>
      <c r="K12" s="55"/>
    </row>
    <row r="13" spans="1:11" ht="36" customHeight="1" thickBot="1">
      <c r="A13" s="55"/>
      <c r="B13" s="37" t="s">
        <v>12</v>
      </c>
      <c r="C13" s="110">
        <v>125</v>
      </c>
      <c r="D13" s="59"/>
      <c r="E13" s="59"/>
      <c r="F13" s="158" t="s">
        <v>13</v>
      </c>
      <c r="G13" s="159"/>
      <c r="H13" s="164" t="str">
        <f>IF(H12="SB", "26W (401269 + 401271)", IF(H12="Precedent", "30W (401414)",IF(H12="Carrier", "26W (401269 +903364)",IF(H12="Rail SB w/ Intermodal Guard", "26W (401269+401272)",IF(H12="Domestic Rail Container (DRC) (Precedent or SB)","36W (401270 + 401293)",IF(H12="Truck (e.g. T-880)", "36W (401270 + 401293)"))))))</f>
        <v>30W (401414)</v>
      </c>
      <c r="I13" s="165"/>
      <c r="J13" s="55"/>
      <c r="K13" s="55"/>
    </row>
    <row r="14" spans="1:11" ht="51.75" customHeight="1" thickBot="1">
      <c r="A14" s="55"/>
      <c r="B14" s="38" t="s">
        <v>14</v>
      </c>
      <c r="C14" s="111">
        <v>4</v>
      </c>
      <c r="D14" s="83"/>
      <c r="E14" s="83"/>
      <c r="F14" s="153" t="s">
        <v>15</v>
      </c>
      <c r="G14" s="154"/>
      <c r="H14" s="113">
        <v>450</v>
      </c>
      <c r="I14" s="129">
        <f>H14*0.74</f>
        <v>333</v>
      </c>
      <c r="J14" s="55"/>
      <c r="K14" s="55"/>
    </row>
    <row r="15" spans="1:11" ht="27.75" customHeight="1" thickBot="1">
      <c r="A15" s="55"/>
      <c r="B15" s="136" t="s">
        <v>16</v>
      </c>
      <c r="C15" s="137"/>
      <c r="D15" s="137"/>
      <c r="E15" s="137"/>
      <c r="F15" s="137"/>
      <c r="G15" s="137"/>
      <c r="H15" s="137"/>
      <c r="I15" s="138"/>
      <c r="J15" s="55"/>
      <c r="K15" s="55"/>
    </row>
    <row r="16" spans="1:11" ht="31.5" customHeight="1" thickBot="1">
      <c r="A16" s="55"/>
      <c r="B16" s="50" t="s">
        <v>17</v>
      </c>
      <c r="C16" s="53">
        <f>IF(H8=0,"N/A",'30w data'!L8)</f>
        <v>16.560000000000002</v>
      </c>
      <c r="D16" s="70" t="s">
        <v>18</v>
      </c>
      <c r="E16" s="70"/>
      <c r="F16" s="71"/>
      <c r="G16" s="71"/>
      <c r="H16" s="71"/>
      <c r="I16" s="39"/>
      <c r="J16" s="55"/>
      <c r="K16" s="55"/>
    </row>
    <row r="17" spans="1:11" ht="30.75" customHeight="1">
      <c r="A17" s="55"/>
      <c r="B17" s="50" t="s">
        <v>19</v>
      </c>
      <c r="C17" s="53" t="str">
        <f>IF(H9=0,"N/A",'30w data'!L9)</f>
        <v>N/A</v>
      </c>
      <c r="D17" s="70" t="s">
        <v>18</v>
      </c>
      <c r="E17" s="70"/>
      <c r="F17" s="71"/>
      <c r="G17" s="71"/>
      <c r="H17" s="71"/>
      <c r="I17" s="39"/>
      <c r="J17" s="55"/>
      <c r="K17" s="55"/>
    </row>
    <row r="18" spans="1:11" ht="30.75" customHeight="1" thickBot="1">
      <c r="A18" s="55"/>
      <c r="B18" s="50"/>
      <c r="C18" s="51"/>
      <c r="D18" s="72"/>
      <c r="E18" s="72"/>
      <c r="F18" s="71"/>
      <c r="G18" s="71"/>
      <c r="H18" s="71"/>
      <c r="I18" s="39"/>
      <c r="J18" s="55"/>
      <c r="K18" s="55"/>
    </row>
    <row r="19" spans="1:11" ht="30.75" customHeight="1" thickBot="1">
      <c r="A19" s="55"/>
      <c r="B19" s="50" t="s">
        <v>20</v>
      </c>
      <c r="C19" s="52">
        <f>'30w data'!I12*C13*C14</f>
        <v>159.7222222222222</v>
      </c>
      <c r="D19" s="73" t="s">
        <v>21</v>
      </c>
      <c r="E19" s="73"/>
      <c r="F19" s="71"/>
      <c r="G19" s="71"/>
      <c r="H19" s="71"/>
      <c r="I19" s="39"/>
      <c r="J19" s="55"/>
      <c r="K19" s="55"/>
    </row>
    <row r="20" spans="1:11" ht="18.75">
      <c r="A20" s="55"/>
      <c r="B20" s="69"/>
      <c r="C20" s="41"/>
      <c r="D20" s="74"/>
      <c r="E20" s="74"/>
      <c r="F20" s="75"/>
      <c r="G20" s="75"/>
      <c r="H20" s="75"/>
      <c r="I20" s="40"/>
      <c r="J20" s="55"/>
      <c r="K20" s="55"/>
    </row>
    <row r="21" spans="1:11" ht="31.5" customHeight="1" thickBot="1">
      <c r="A21" s="55"/>
      <c r="B21" s="50" t="s">
        <v>22</v>
      </c>
      <c r="C21" s="45">
        <f>'30w data'!J10+'30w data'!J13+'30w data'!J14</f>
        <v>104.13888888888889</v>
      </c>
      <c r="D21" s="145" t="s">
        <v>23</v>
      </c>
      <c r="E21" s="146"/>
      <c r="F21" s="146"/>
      <c r="G21" s="146"/>
      <c r="H21" s="146"/>
      <c r="I21" s="40"/>
      <c r="J21" s="55"/>
      <c r="K21" s="55"/>
    </row>
    <row r="22" spans="1:11" ht="18.75">
      <c r="A22" s="55"/>
      <c r="B22" s="50"/>
      <c r="C22" s="41"/>
      <c r="D22" s="74"/>
      <c r="E22" s="74"/>
      <c r="F22" s="75"/>
      <c r="G22" s="75"/>
      <c r="H22" s="75"/>
      <c r="I22" s="40"/>
      <c r="J22" s="55"/>
      <c r="K22" s="55"/>
    </row>
    <row r="23" spans="1:11" ht="21.75" thickBot="1">
      <c r="A23" s="55"/>
      <c r="B23" s="50" t="s">
        <v>24</v>
      </c>
      <c r="C23" s="45">
        <f>C10*0.03*C12*0.65*0.9*IF(C11=1,1.75,1)*IF(C11=2,1.5,1)*IF(C11=3,1,1)*IF(C11=4,0.65,1)*IF(C11=5,0.45,1)</f>
        <v>175.5</v>
      </c>
      <c r="D23" s="73" t="s">
        <v>25</v>
      </c>
      <c r="E23" s="73"/>
      <c r="F23" s="76"/>
      <c r="G23" s="76"/>
      <c r="H23" s="76"/>
      <c r="I23" s="40"/>
      <c r="J23" s="55"/>
      <c r="K23" s="55"/>
    </row>
    <row r="24" spans="1:11" ht="21">
      <c r="A24" s="55"/>
      <c r="B24" s="50"/>
      <c r="C24" s="51"/>
      <c r="D24" s="73"/>
      <c r="E24" s="73"/>
      <c r="F24" s="76"/>
      <c r="G24" s="76"/>
      <c r="H24" s="76"/>
      <c r="I24" s="40"/>
      <c r="J24" s="55"/>
      <c r="K24" s="55"/>
    </row>
    <row r="25" spans="1:11" ht="21.75" thickBot="1">
      <c r="A25" s="55"/>
      <c r="B25" s="50" t="s">
        <v>26</v>
      </c>
      <c r="C25" s="45">
        <f>C12*0.00222*IF(C11=1,2281,1)*IF(C11=2,3041,1)*IF(C11=3,3802,1)*IF(C11=4,4562,1)*IF(C11=5,5322,1)</f>
        <v>42.202200000000005</v>
      </c>
      <c r="D25" s="73" t="s">
        <v>27</v>
      </c>
      <c r="E25" s="73"/>
      <c r="F25" s="76"/>
      <c r="G25" s="76"/>
      <c r="H25" s="76"/>
      <c r="I25" s="40"/>
      <c r="J25" s="55"/>
      <c r="K25" s="55"/>
    </row>
    <row r="26" spans="1:11" ht="21">
      <c r="A26" s="55"/>
      <c r="B26" s="50"/>
      <c r="C26" s="51"/>
      <c r="D26" s="73"/>
      <c r="E26" s="73"/>
      <c r="F26" s="76"/>
      <c r="G26" s="76"/>
      <c r="H26" s="76"/>
      <c r="I26" s="40"/>
      <c r="J26" s="55"/>
      <c r="K26" s="55"/>
    </row>
    <row r="27" spans="1:11" ht="51" customHeight="1" thickBot="1">
      <c r="A27" s="55"/>
      <c r="B27" s="48"/>
      <c r="C27" s="54" t="s">
        <v>28</v>
      </c>
      <c r="D27" s="54" t="s">
        <v>29</v>
      </c>
      <c r="E27" s="54" t="s">
        <v>30</v>
      </c>
      <c r="F27" s="43"/>
      <c r="G27" s="43"/>
      <c r="H27" s="43"/>
      <c r="I27" s="40"/>
      <c r="J27" s="55"/>
      <c r="K27" s="55"/>
    </row>
    <row r="28" spans="1:11" ht="21.75" customHeight="1" thickBot="1">
      <c r="A28" s="55"/>
      <c r="B28" s="50" t="s">
        <v>31</v>
      </c>
      <c r="C28" s="101">
        <f>D28*0.7</f>
        <v>337.09431777777775</v>
      </c>
      <c r="D28" s="103">
        <f>C19+C21+C23+C25</f>
        <v>481.56331111111109</v>
      </c>
      <c r="E28" s="101">
        <f>D28*1.3</f>
        <v>626.03230444444443</v>
      </c>
      <c r="F28" s="77" t="s">
        <v>32</v>
      </c>
      <c r="G28" s="77"/>
      <c r="H28" s="44"/>
      <c r="I28" s="40"/>
      <c r="J28" s="55"/>
      <c r="K28" s="55"/>
    </row>
    <row r="29" spans="1:11" ht="21.75" customHeight="1" thickBot="1">
      <c r="A29" s="55"/>
      <c r="B29" s="50" t="s">
        <v>33</v>
      </c>
      <c r="C29" s="102">
        <f>D29*0.7</f>
        <v>168547.15888888887</v>
      </c>
      <c r="D29" s="104">
        <f>D28*C8</f>
        <v>240781.65555555554</v>
      </c>
      <c r="E29" s="101">
        <f>D29*1.3</f>
        <v>313016.15222222218</v>
      </c>
      <c r="F29" s="72" t="s">
        <v>34</v>
      </c>
      <c r="G29" s="72"/>
      <c r="H29" s="44"/>
      <c r="I29" s="40"/>
      <c r="J29" s="55"/>
      <c r="K29" s="55"/>
    </row>
    <row r="30" spans="1:11" ht="21.75" customHeight="1">
      <c r="A30" s="55"/>
      <c r="B30" s="50" t="s">
        <v>35</v>
      </c>
      <c r="C30" s="102">
        <f>D30*0.7</f>
        <v>2126.5602244444444</v>
      </c>
      <c r="D30" s="104">
        <f>D28*C9-I14</f>
        <v>3037.9431777777777</v>
      </c>
      <c r="E30" s="101">
        <f>D30*1.3</f>
        <v>3949.326131111111</v>
      </c>
      <c r="F30" s="72" t="s">
        <v>36</v>
      </c>
      <c r="G30" s="72"/>
      <c r="H30" s="44"/>
      <c r="I30" s="40"/>
      <c r="J30" s="55"/>
      <c r="K30" s="55"/>
    </row>
    <row r="31" spans="1:11" ht="39.75" customHeight="1" thickBot="1">
      <c r="A31" s="55"/>
      <c r="B31" s="50" t="s">
        <v>37</v>
      </c>
      <c r="C31" s="78">
        <f>D31/0.7</f>
        <v>11.854249061042546</v>
      </c>
      <c r="D31" s="79">
        <f>I14/D28*12</f>
        <v>8.2979743427297823</v>
      </c>
      <c r="E31" s="78">
        <f>D31/1.3</f>
        <v>6.3830571867152166</v>
      </c>
      <c r="F31" s="61"/>
      <c r="G31" s="61"/>
      <c r="H31" s="61"/>
      <c r="I31" s="42"/>
      <c r="J31" s="55"/>
      <c r="K31" s="55"/>
    </row>
    <row r="32" spans="1:11" ht="32.25" customHeight="1">
      <c r="A32" s="55"/>
      <c r="B32" s="139" t="s">
        <v>38</v>
      </c>
      <c r="C32" s="140"/>
      <c r="D32" s="140"/>
      <c r="E32" s="140"/>
      <c r="F32" s="140"/>
      <c r="G32" s="140"/>
      <c r="H32" s="140"/>
      <c r="I32" s="141"/>
      <c r="J32" s="55"/>
      <c r="K32" s="55"/>
    </row>
    <row r="33" spans="1:11" ht="37.5" customHeight="1">
      <c r="A33" s="55"/>
      <c r="B33" s="142" t="s">
        <v>39</v>
      </c>
      <c r="C33" s="143"/>
      <c r="D33" s="143"/>
      <c r="E33" s="143"/>
      <c r="F33" s="143"/>
      <c r="G33" s="143"/>
      <c r="H33" s="143"/>
      <c r="I33" s="144"/>
      <c r="J33" s="55"/>
      <c r="K33" s="55"/>
    </row>
    <row r="34" spans="1:11" ht="32.25" customHeight="1">
      <c r="A34" s="55"/>
      <c r="B34" s="142" t="s">
        <v>40</v>
      </c>
      <c r="C34" s="143"/>
      <c r="D34" s="143"/>
      <c r="E34" s="143"/>
      <c r="F34" s="143"/>
      <c r="G34" s="143"/>
      <c r="H34" s="143"/>
      <c r="I34" s="144"/>
      <c r="J34" s="55"/>
      <c r="K34" s="55"/>
    </row>
    <row r="35" spans="1:11" ht="32.25" customHeight="1" thickBot="1">
      <c r="A35" s="55"/>
      <c r="B35" s="150" t="s">
        <v>41</v>
      </c>
      <c r="C35" s="151"/>
      <c r="D35" s="151"/>
      <c r="E35" s="151"/>
      <c r="F35" s="151"/>
      <c r="G35" s="151"/>
      <c r="H35" s="151"/>
      <c r="I35" s="152"/>
      <c r="J35" s="55"/>
      <c r="K35" s="55"/>
    </row>
    <row r="36" spans="1:11" ht="32.25" customHeight="1">
      <c r="A36" s="55"/>
      <c r="B36" s="147" t="s">
        <v>42</v>
      </c>
      <c r="C36" s="148"/>
      <c r="D36" s="148"/>
      <c r="E36" s="148"/>
      <c r="F36" s="148"/>
      <c r="G36" s="148"/>
      <c r="H36" s="148"/>
      <c r="I36" s="149"/>
      <c r="J36" s="55"/>
      <c r="K36" s="55"/>
    </row>
    <row r="37" spans="1:11" ht="47.25" customHeight="1">
      <c r="A37" s="55"/>
      <c r="B37" s="132" t="s">
        <v>43</v>
      </c>
      <c r="C37" s="133"/>
      <c r="D37" s="131">
        <f>'30w data'!K12</f>
        <v>9583.3333333333321</v>
      </c>
      <c r="E37" s="131"/>
      <c r="F37" s="131"/>
      <c r="G37" s="62"/>
      <c r="H37" s="63"/>
      <c r="I37" s="40"/>
      <c r="J37" s="55"/>
      <c r="K37" s="55"/>
    </row>
    <row r="38" spans="1:11" ht="47.25" customHeight="1">
      <c r="A38" s="55"/>
      <c r="B38" s="132" t="s">
        <v>44</v>
      </c>
      <c r="C38" s="133"/>
      <c r="D38" s="131">
        <f>(C23+C25)/C12*C8</f>
        <v>21770.22</v>
      </c>
      <c r="E38" s="131"/>
      <c r="F38" s="131"/>
      <c r="G38" s="63"/>
      <c r="H38" s="63"/>
      <c r="I38" s="40"/>
      <c r="J38" s="55"/>
      <c r="K38" s="55"/>
    </row>
    <row r="39" spans="1:11" ht="47.25" customHeight="1" thickBot="1">
      <c r="A39" s="55"/>
      <c r="B39" s="134" t="s">
        <v>45</v>
      </c>
      <c r="C39" s="135"/>
      <c r="D39" s="130">
        <f>D38*22.5</f>
        <v>489829.95</v>
      </c>
      <c r="E39" s="130"/>
      <c r="F39" s="130"/>
      <c r="G39" s="64"/>
      <c r="H39" s="64"/>
      <c r="I39" s="65"/>
      <c r="J39" s="55"/>
      <c r="K39" s="55"/>
    </row>
    <row r="40" spans="1:11" ht="245.2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ht="245.2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</sheetData>
  <sheetProtection algorithmName="SHA-512" hashValue="mxJXGTCus6EZmB7h+T1xq/+OhcGmcK5U2oeZ7SDkLDJdNdWOJAHWwTOfljAyUz+iUhgfaIwTMynDvTfxL3VuOw==" saltValue="9xwJdnmyYjawW2+jORjuMQ==" spinCount="100000" sheet="1" objects="1" scenarios="1" selectLockedCells="1"/>
  <mergeCells count="23">
    <mergeCell ref="F14:G14"/>
    <mergeCell ref="B7:I7"/>
    <mergeCell ref="F8:G8"/>
    <mergeCell ref="F9:G9"/>
    <mergeCell ref="F10:G10"/>
    <mergeCell ref="F11:G11"/>
    <mergeCell ref="F13:G13"/>
    <mergeCell ref="F12:G12"/>
    <mergeCell ref="H12:I12"/>
    <mergeCell ref="H13:I13"/>
    <mergeCell ref="D39:F39"/>
    <mergeCell ref="D37:F37"/>
    <mergeCell ref="B37:C37"/>
    <mergeCell ref="B39:C39"/>
    <mergeCell ref="B15:I15"/>
    <mergeCell ref="B38:C38"/>
    <mergeCell ref="D38:F38"/>
    <mergeCell ref="B32:I32"/>
    <mergeCell ref="B33:I33"/>
    <mergeCell ref="B34:I34"/>
    <mergeCell ref="D21:H21"/>
    <mergeCell ref="B36:I36"/>
    <mergeCell ref="B35:I3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'30w data'!$A$12:$A$16</xm:f>
          </x14:formula1>
          <xm:sqref>C11</xm:sqref>
        </x14:dataValidation>
        <x14:dataValidation type="list" allowBlank="1" showInputMessage="1" showErrorMessage="1" xr:uid="{00000000-0002-0000-0000-000001000000}">
          <x14:formula1>
            <xm:f>'30w data'!$C$12:$C$17</xm:f>
          </x14:formula1>
          <xm:sqref>H12:I12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workbookViewId="0">
      <selection activeCell="K6" sqref="K6"/>
    </sheetView>
  </sheetViews>
  <sheetFormatPr defaultRowHeight="15"/>
  <cols>
    <col min="1" max="1" width="14.85546875" bestFit="1" customWidth="1"/>
    <col min="2" max="2" width="14.28515625" style="1" bestFit="1" customWidth="1"/>
    <col min="3" max="3" width="17.85546875" style="1" customWidth="1"/>
    <col min="4" max="5" width="16" bestFit="1" customWidth="1"/>
    <col min="6" max="6" width="22.5703125" bestFit="1" customWidth="1"/>
    <col min="7" max="7" width="21.140625" bestFit="1" customWidth="1"/>
    <col min="8" max="8" width="13.7109375" customWidth="1"/>
    <col min="9" max="9" width="22.42578125" bestFit="1" customWidth="1"/>
    <col min="10" max="10" width="16" bestFit="1" customWidth="1"/>
    <col min="11" max="11" width="9.28515625" customWidth="1"/>
  </cols>
  <sheetData>
    <row r="1" spans="1:12" ht="21">
      <c r="A1" s="166" t="s">
        <v>46</v>
      </c>
      <c r="B1" s="166"/>
      <c r="C1" s="166"/>
      <c r="D1" s="166"/>
      <c r="E1" s="166"/>
      <c r="F1" s="166"/>
      <c r="J1" s="16" t="s">
        <v>47</v>
      </c>
      <c r="K1" s="17">
        <f>'Precedent Calculator'!C9</f>
        <v>7</v>
      </c>
    </row>
    <row r="2" spans="1:12" ht="33" customHeight="1">
      <c r="A2" s="3" t="s">
        <v>48</v>
      </c>
      <c r="B2" s="9" t="s">
        <v>49</v>
      </c>
      <c r="C2" s="9" t="s">
        <v>50</v>
      </c>
      <c r="D2" s="4" t="s">
        <v>51</v>
      </c>
      <c r="E2" s="9" t="s">
        <v>52</v>
      </c>
      <c r="F2" s="4" t="s">
        <v>53</v>
      </c>
      <c r="G2" s="9" t="s">
        <v>54</v>
      </c>
      <c r="H2" s="9" t="s">
        <v>55</v>
      </c>
      <c r="J2" s="16" t="s">
        <v>56</v>
      </c>
      <c r="K2" s="18">
        <f>'Precedent Calculator'!C8</f>
        <v>500</v>
      </c>
    </row>
    <row r="3" spans="1:12">
      <c r="A3" t="s">
        <v>57</v>
      </c>
      <c r="B3" s="1">
        <f>IF('Precedent Calculator'!H10=0,15,'Precedent Calculator'!H10)</f>
        <v>18</v>
      </c>
      <c r="C3" s="5">
        <f>$K$1*12/(B3)</f>
        <v>4.666666666666667</v>
      </c>
      <c r="D3" s="2">
        <v>101</v>
      </c>
      <c r="E3" s="2">
        <f>D3+$K$4</f>
        <v>326</v>
      </c>
      <c r="F3" s="6">
        <f>E3*C3</f>
        <v>1521.3333333333335</v>
      </c>
      <c r="G3" s="8">
        <f>F3*$K$2</f>
        <v>760666.66666666674</v>
      </c>
      <c r="H3">
        <f>12/(B3)</f>
        <v>0.66666666666666663</v>
      </c>
      <c r="J3" s="16" t="s">
        <v>58</v>
      </c>
      <c r="K3" s="19">
        <f>'Precedent Calculator'!H14</f>
        <v>450</v>
      </c>
    </row>
    <row r="4" spans="1:12">
      <c r="A4" t="s">
        <v>59</v>
      </c>
      <c r="B4" s="1">
        <f>IF('Precedent Calculator'!H11=0,34,'Precedent Calculator'!H11)</f>
        <v>34</v>
      </c>
      <c r="C4" s="5">
        <f>$K$1*12/(B4)</f>
        <v>2.4705882352941178</v>
      </c>
      <c r="D4" s="2">
        <v>300</v>
      </c>
      <c r="E4" s="2">
        <f>D4+$K$4</f>
        <v>525</v>
      </c>
      <c r="F4" s="7">
        <f>E4*C4</f>
        <v>1297.0588235294117</v>
      </c>
      <c r="G4" s="8">
        <f>F4*K2</f>
        <v>648529.4117647059</v>
      </c>
      <c r="H4">
        <f>12/(B4)</f>
        <v>0.35294117647058826</v>
      </c>
      <c r="J4" s="20" t="s">
        <v>60</v>
      </c>
      <c r="K4" s="19">
        <v>225</v>
      </c>
    </row>
    <row r="5" spans="1:12" ht="17.25">
      <c r="G5" s="12">
        <f>SUM(G3:G4)</f>
        <v>1409196.0784313725</v>
      </c>
      <c r="J5" s="21" t="s">
        <v>61</v>
      </c>
      <c r="K5" s="17">
        <v>1.2</v>
      </c>
    </row>
    <row r="6" spans="1:12" ht="21">
      <c r="A6" s="166" t="s">
        <v>62</v>
      </c>
      <c r="B6" s="166"/>
      <c r="C6" s="166"/>
      <c r="D6" s="166"/>
      <c r="E6" s="166"/>
      <c r="F6" s="166"/>
    </row>
    <row r="7" spans="1:12" ht="45">
      <c r="A7" s="3" t="s">
        <v>48</v>
      </c>
      <c r="B7" s="9" t="s">
        <v>63</v>
      </c>
      <c r="C7" s="9" t="s">
        <v>50</v>
      </c>
      <c r="D7" s="4" t="s">
        <v>51</v>
      </c>
      <c r="E7" s="9" t="s">
        <v>52</v>
      </c>
      <c r="F7" s="4" t="s">
        <v>53</v>
      </c>
      <c r="G7" s="9" t="s">
        <v>54</v>
      </c>
      <c r="H7" s="9" t="s">
        <v>55</v>
      </c>
      <c r="I7" s="9" t="s">
        <v>64</v>
      </c>
      <c r="K7" t="s">
        <v>65</v>
      </c>
    </row>
    <row r="8" spans="1:12">
      <c r="A8" t="s">
        <v>57</v>
      </c>
      <c r="B8" s="5">
        <f>2.4*K5*12</f>
        <v>34.56</v>
      </c>
      <c r="C8" s="5">
        <f>$K$1/B8*12</f>
        <v>2.4305555555555554</v>
      </c>
      <c r="D8" s="2">
        <v>101</v>
      </c>
      <c r="E8" s="2">
        <f>D8+$K$4</f>
        <v>326</v>
      </c>
      <c r="F8" s="6">
        <f>E8*C8</f>
        <v>792.36111111111109</v>
      </c>
      <c r="G8" s="8">
        <f>F8*K2</f>
        <v>396180.55555555556</v>
      </c>
      <c r="H8" s="28">
        <f>12/B8</f>
        <v>0.34722222222222221</v>
      </c>
      <c r="I8" s="28">
        <f>H3-H8</f>
        <v>0.31944444444444442</v>
      </c>
      <c r="J8" s="29">
        <f>I8*E8*'Precedent Calculator'!H8/100</f>
        <v>104.13888888888889</v>
      </c>
      <c r="K8">
        <f>I8*60</f>
        <v>19.166666666666664</v>
      </c>
      <c r="L8" s="66">
        <f>B8-B3</f>
        <v>16.560000000000002</v>
      </c>
    </row>
    <row r="9" spans="1:12">
      <c r="A9" t="s">
        <v>59</v>
      </c>
      <c r="B9" s="1">
        <f>6*K5*12</f>
        <v>86.399999999999991</v>
      </c>
      <c r="C9" s="5">
        <f>$K$1/B9*12</f>
        <v>0.97222222222222232</v>
      </c>
      <c r="D9" s="2">
        <v>300</v>
      </c>
      <c r="E9" s="2">
        <f>D9+$K$4</f>
        <v>525</v>
      </c>
      <c r="F9" s="7">
        <f>E9*C9</f>
        <v>510.41666666666674</v>
      </c>
      <c r="G9" s="8">
        <f>F9*K2</f>
        <v>255208.33333333337</v>
      </c>
      <c r="H9" s="28">
        <f>12/B9</f>
        <v>0.1388888888888889</v>
      </c>
      <c r="I9" s="28">
        <f>H4-H9</f>
        <v>0.21405228758169936</v>
      </c>
      <c r="J9" s="29">
        <f>I9*E9*'Precedent Calculator'!H9/100</f>
        <v>0</v>
      </c>
      <c r="K9">
        <f>I9*78</f>
        <v>16.696078431372552</v>
      </c>
      <c r="L9">
        <f>B9-B4</f>
        <v>52.399999999999991</v>
      </c>
    </row>
    <row r="10" spans="1:12" ht="17.25">
      <c r="G10" s="12">
        <f>SUM(G8:G9)</f>
        <v>651388.88888888899</v>
      </c>
      <c r="I10" s="2"/>
      <c r="J10" s="32">
        <f>SUM(J8:J9)</f>
        <v>104.13888888888889</v>
      </c>
    </row>
    <row r="12" spans="1:12" ht="17.25">
      <c r="A12">
        <v>1</v>
      </c>
      <c r="C12" s="1" t="s">
        <v>66</v>
      </c>
      <c r="G12" s="13"/>
      <c r="H12" s="30" t="s">
        <v>67</v>
      </c>
      <c r="I12" s="31">
        <f>I8*'Precedent Calculator'!H8/100+'30w data'!I9*'Precedent Calculator'!H9/100</f>
        <v>0.31944444444444442</v>
      </c>
      <c r="K12">
        <f>K2*(K8*'Precedent Calculator'!H8/100+K9*'Precedent Calculator'!H9/100)</f>
        <v>9583.3333333333321</v>
      </c>
    </row>
    <row r="13" spans="1:12" ht="17.25">
      <c r="A13">
        <v>2</v>
      </c>
      <c r="C13" s="1" t="s">
        <v>11</v>
      </c>
      <c r="G13" s="13"/>
      <c r="I13" s="30" t="s">
        <v>68</v>
      </c>
      <c r="J13" s="10">
        <f>(1-'Precedent Calculator'!H10/18)*D3*-1*'Precedent Calculator'!H8/100</f>
        <v>0</v>
      </c>
    </row>
    <row r="14" spans="1:12">
      <c r="A14">
        <v>3</v>
      </c>
      <c r="C14" s="1" t="s">
        <v>69</v>
      </c>
      <c r="G14" s="11"/>
      <c r="I14" s="30" t="s">
        <v>70</v>
      </c>
      <c r="J14" s="10">
        <f>(1-'Precedent Calculator'!H11/48)*D4*'Precedent Calculator'!H9/100</f>
        <v>0</v>
      </c>
    </row>
    <row r="15" spans="1:12">
      <c r="A15">
        <v>4</v>
      </c>
      <c r="C15" s="1" t="s">
        <v>71</v>
      </c>
      <c r="G15" s="11"/>
    </row>
    <row r="16" spans="1:12">
      <c r="A16">
        <v>5</v>
      </c>
      <c r="C16" s="1" t="s">
        <v>72</v>
      </c>
      <c r="G16" s="11"/>
    </row>
    <row r="17" spans="1:7">
      <c r="C17" s="1" t="s">
        <v>73</v>
      </c>
      <c r="G17" s="11"/>
    </row>
    <row r="19" spans="1:7">
      <c r="A19" t="s">
        <v>74</v>
      </c>
      <c r="F19" s="14"/>
      <c r="G19" s="10"/>
    </row>
    <row r="20" spans="1:7" ht="26.25" customHeight="1">
      <c r="A20" t="s">
        <v>75</v>
      </c>
      <c r="G20" s="11"/>
    </row>
    <row r="21" spans="1:7">
      <c r="A21" t="s">
        <v>76</v>
      </c>
      <c r="F21" s="3"/>
      <c r="G21" s="15"/>
    </row>
  </sheetData>
  <mergeCells count="2">
    <mergeCell ref="A6:F6"/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topLeftCell="A5" zoomScale="90" zoomScaleNormal="90" workbookViewId="0">
      <selection activeCell="C10" sqref="C10"/>
    </sheetView>
  </sheetViews>
  <sheetFormatPr defaultColWidth="9.140625" defaultRowHeight="15"/>
  <cols>
    <col min="1" max="1" width="3.42578125" customWidth="1"/>
    <col min="2" max="2" width="59" customWidth="1"/>
    <col min="3" max="3" width="20.140625" customWidth="1"/>
    <col min="4" max="4" width="28.85546875" customWidth="1"/>
    <col min="5" max="5" width="24.5703125" customWidth="1"/>
    <col min="6" max="6" width="14.28515625" customWidth="1"/>
    <col min="7" max="7" width="43.42578125" customWidth="1"/>
    <col min="8" max="8" width="14.42578125" customWidth="1"/>
    <col min="9" max="10" width="52.140625" customWidth="1"/>
  </cols>
  <sheetData>
    <row r="1" spans="1:10" ht="15.75" thickBot="1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>
      <c r="A2" s="55"/>
      <c r="B2" s="24"/>
      <c r="C2" s="25"/>
      <c r="D2" s="25"/>
      <c r="E2" s="25"/>
      <c r="F2" s="25"/>
      <c r="G2" s="25"/>
      <c r="H2" s="22"/>
      <c r="I2" s="55"/>
      <c r="J2" s="55"/>
    </row>
    <row r="3" spans="1:10">
      <c r="A3" s="55"/>
      <c r="B3" s="26"/>
      <c r="C3" s="27"/>
      <c r="D3" s="27"/>
      <c r="E3" s="27"/>
      <c r="F3" s="27"/>
      <c r="G3" s="27"/>
      <c r="H3" s="23"/>
      <c r="I3" s="55"/>
      <c r="J3" s="55"/>
    </row>
    <row r="4" spans="1:10">
      <c r="A4" s="55"/>
      <c r="B4" s="26"/>
      <c r="C4" s="27"/>
      <c r="D4" s="27"/>
      <c r="E4" s="27"/>
      <c r="F4" s="27"/>
      <c r="G4" s="27"/>
      <c r="H4" s="23"/>
      <c r="I4" s="55"/>
      <c r="J4" s="55"/>
    </row>
    <row r="5" spans="1:10">
      <c r="A5" s="55"/>
      <c r="B5" s="26"/>
      <c r="C5" s="27"/>
      <c r="D5" s="27"/>
      <c r="E5" s="27"/>
      <c r="F5" s="27"/>
      <c r="G5" s="27"/>
      <c r="H5" s="23"/>
      <c r="I5" s="55"/>
      <c r="J5" s="55"/>
    </row>
    <row r="6" spans="1:10" ht="120" customHeight="1" thickBot="1">
      <c r="A6" s="55"/>
      <c r="B6" s="80"/>
      <c r="C6" s="81"/>
      <c r="D6" s="81"/>
      <c r="E6" s="81"/>
      <c r="F6" s="81"/>
      <c r="G6" s="81"/>
      <c r="H6" s="82"/>
      <c r="I6" s="55"/>
      <c r="J6" s="55"/>
    </row>
    <row r="7" spans="1:10" ht="31.5" customHeight="1" thickBot="1">
      <c r="A7" s="55"/>
      <c r="B7" s="155" t="s">
        <v>0</v>
      </c>
      <c r="C7" s="156"/>
      <c r="D7" s="156"/>
      <c r="E7" s="156"/>
      <c r="F7" s="156"/>
      <c r="G7" s="156"/>
      <c r="H7" s="157"/>
      <c r="I7" s="55"/>
      <c r="J7" s="55"/>
    </row>
    <row r="8" spans="1:10" ht="30.75" customHeight="1">
      <c r="A8" s="55"/>
      <c r="B8" s="96" t="s">
        <v>77</v>
      </c>
      <c r="C8" s="33">
        <v>1</v>
      </c>
      <c r="D8" s="56"/>
      <c r="E8" s="60"/>
      <c r="F8" s="167" t="s">
        <v>78</v>
      </c>
      <c r="G8" s="168"/>
      <c r="H8" s="33">
        <v>2</v>
      </c>
      <c r="I8" s="55"/>
      <c r="J8" s="55"/>
    </row>
    <row r="9" spans="1:10" ht="30.75" customHeight="1">
      <c r="A9" s="55"/>
      <c r="B9" s="96" t="s">
        <v>79</v>
      </c>
      <c r="C9" s="34">
        <v>7</v>
      </c>
      <c r="D9" s="56"/>
      <c r="E9" s="60"/>
      <c r="F9" s="167" t="s">
        <v>80</v>
      </c>
      <c r="G9" s="168"/>
      <c r="H9" s="128" t="s">
        <v>81</v>
      </c>
      <c r="I9" s="55"/>
      <c r="J9" s="55"/>
    </row>
    <row r="10" spans="1:10" ht="30.75" customHeight="1">
      <c r="A10" s="55"/>
      <c r="B10" s="96" t="s">
        <v>82</v>
      </c>
      <c r="C10" s="34" t="s">
        <v>83</v>
      </c>
      <c r="D10" s="56"/>
      <c r="E10" s="60"/>
      <c r="F10" s="167" t="s">
        <v>84</v>
      </c>
      <c r="G10" s="168"/>
      <c r="H10" s="99">
        <v>180</v>
      </c>
      <c r="I10" s="55"/>
      <c r="J10" s="55"/>
    </row>
    <row r="11" spans="1:10" ht="30.75" customHeight="1">
      <c r="A11" s="55"/>
      <c r="B11" s="97" t="s">
        <v>85</v>
      </c>
      <c r="C11" s="34">
        <v>4</v>
      </c>
      <c r="D11" s="56"/>
      <c r="E11" s="60"/>
      <c r="F11" s="167" t="s">
        <v>86</v>
      </c>
      <c r="G11" s="168"/>
      <c r="H11" s="34">
        <v>10</v>
      </c>
      <c r="I11" s="55"/>
      <c r="J11" s="55"/>
    </row>
    <row r="12" spans="1:10" ht="30.75" customHeight="1" thickBot="1">
      <c r="A12" s="55"/>
      <c r="B12" s="96" t="s">
        <v>9</v>
      </c>
      <c r="C12" s="35">
        <v>2.65</v>
      </c>
      <c r="D12" s="56"/>
      <c r="E12" s="60"/>
      <c r="F12" s="167" t="s">
        <v>87</v>
      </c>
      <c r="G12" s="168"/>
      <c r="H12" s="106">
        <v>38</v>
      </c>
      <c r="I12" s="55"/>
      <c r="J12" s="55"/>
    </row>
    <row r="13" spans="1:10" ht="30.75" customHeight="1" thickBot="1">
      <c r="A13" s="55"/>
      <c r="B13" s="97" t="s">
        <v>88</v>
      </c>
      <c r="C13" s="49">
        <v>125</v>
      </c>
      <c r="D13" s="58"/>
      <c r="E13" s="60"/>
      <c r="F13" s="167" t="s">
        <v>89</v>
      </c>
      <c r="G13" s="168"/>
      <c r="H13" s="122">
        <f>300*IF(C11=2,2/3,1)*IF(C11=3,2/3,1)*IF(C11=4,1/3,1)*IF(C11=5,1/3,1)</f>
        <v>100</v>
      </c>
      <c r="I13" s="55"/>
      <c r="J13" s="55"/>
    </row>
    <row r="14" spans="1:10" ht="34.5" customHeight="1" thickBot="1">
      <c r="A14" s="55"/>
      <c r="B14" s="125" t="s">
        <v>90</v>
      </c>
      <c r="C14" s="34">
        <v>6</v>
      </c>
      <c r="D14" s="58"/>
      <c r="E14" s="60"/>
      <c r="F14" s="121" t="s">
        <v>91</v>
      </c>
      <c r="G14" s="123" t="str">
        <f>IF(H13=300,"401301 + 401300 (Qty2) +Ext Harness: 8' (422405), 25' (422406), 50' (422407)",IF(H13=200,"401301 + 401300 (Qty1) +Ext Harness: 8' (422405), 25' (422406), 50' (422407)",IF(H13=100,"401301 +Ext Harness: 8' (422405), 25' (422406), 50' (422407)")))</f>
        <v>401301 +Ext Harness: 8' (422405), 25' (422406), 50' (422407)</v>
      </c>
      <c r="H14" s="124"/>
      <c r="I14" s="55"/>
      <c r="J14" s="55"/>
    </row>
    <row r="15" spans="1:10" ht="30.75" customHeight="1" thickBot="1">
      <c r="A15" s="55"/>
      <c r="B15" s="105"/>
      <c r="C15" s="83"/>
      <c r="D15" s="126"/>
      <c r="E15" s="84"/>
      <c r="F15" s="169" t="s">
        <v>92</v>
      </c>
      <c r="G15" s="170"/>
      <c r="H15" s="127">
        <v>1000</v>
      </c>
      <c r="I15" s="55"/>
      <c r="J15" s="55"/>
    </row>
    <row r="16" spans="1:10" ht="30.75" customHeight="1" thickBot="1">
      <c r="A16" s="55"/>
      <c r="B16" s="171" t="s">
        <v>93</v>
      </c>
      <c r="C16" s="172"/>
      <c r="D16" s="172"/>
      <c r="E16" s="172"/>
      <c r="F16" s="172"/>
      <c r="G16" s="172"/>
      <c r="H16" s="173"/>
      <c r="I16" s="55"/>
      <c r="J16" s="55"/>
    </row>
    <row r="17" spans="1:10" ht="30.75" customHeight="1" thickBot="1">
      <c r="A17" s="55"/>
      <c r="B17" s="100" t="s">
        <v>94</v>
      </c>
      <c r="C17" s="85" t="s">
        <v>95</v>
      </c>
      <c r="D17" s="177" t="s">
        <v>96</v>
      </c>
      <c r="E17" s="178"/>
      <c r="F17" s="85">
        <v>25</v>
      </c>
      <c r="G17" s="98" t="s">
        <v>97</v>
      </c>
      <c r="H17" s="85">
        <v>62</v>
      </c>
      <c r="I17" s="55"/>
      <c r="J17" s="55"/>
    </row>
    <row r="18" spans="1:10" ht="27.75" customHeight="1" thickBot="1">
      <c r="A18" s="55"/>
      <c r="B18" s="174" t="s">
        <v>16</v>
      </c>
      <c r="C18" s="175"/>
      <c r="D18" s="175"/>
      <c r="E18" s="175"/>
      <c r="F18" s="175"/>
      <c r="G18" s="175"/>
      <c r="H18" s="176"/>
      <c r="I18" s="55"/>
      <c r="J18" s="55"/>
    </row>
    <row r="19" spans="1:10" ht="25.5" customHeight="1" thickBot="1">
      <c r="A19" s="55"/>
      <c r="B19" s="50" t="s">
        <v>98</v>
      </c>
      <c r="C19" s="53" t="str">
        <f>IF(H9="Flooded",IF(AND(H9="Flooded",C17="Yes"),H17-H12, 26-H12), "N/A")</f>
        <v>N/A</v>
      </c>
      <c r="D19" s="70"/>
      <c r="E19" s="71"/>
      <c r="F19" s="71"/>
      <c r="G19" s="71"/>
      <c r="H19" s="86"/>
      <c r="I19" s="55"/>
      <c r="J19" s="55"/>
    </row>
    <row r="20" spans="1:10" ht="27" customHeight="1">
      <c r="A20" s="55"/>
      <c r="B20" s="50" t="s">
        <v>99</v>
      </c>
      <c r="C20" s="53">
        <f>IF(H9="Deep Cycle/AGM",IF(AND(H9="Deep Cycle/AGM",C17="Yes"),H17-H12, 52-H12), "N/A")</f>
        <v>24</v>
      </c>
      <c r="D20" s="70"/>
      <c r="E20" s="71"/>
      <c r="F20" s="71"/>
      <c r="G20" s="71"/>
      <c r="H20" s="86"/>
      <c r="I20" s="55"/>
      <c r="J20" s="55"/>
    </row>
    <row r="21" spans="1:10" ht="24.75" customHeight="1" thickBot="1">
      <c r="A21" s="55"/>
      <c r="B21" s="50"/>
      <c r="C21" s="51"/>
      <c r="D21" s="72"/>
      <c r="E21" s="71"/>
      <c r="F21" s="71"/>
      <c r="G21" s="71"/>
      <c r="H21" s="86"/>
      <c r="I21" s="55"/>
      <c r="J21" s="55"/>
    </row>
    <row r="22" spans="1:10" ht="31.5" customHeight="1" thickBot="1">
      <c r="A22" s="55"/>
      <c r="B22" s="50" t="s">
        <v>20</v>
      </c>
      <c r="C22" s="52">
        <f>C13*C14*H11/C8</f>
        <v>7500</v>
      </c>
      <c r="D22" s="179" t="s">
        <v>100</v>
      </c>
      <c r="E22" s="180"/>
      <c r="F22" s="180"/>
      <c r="G22" s="180"/>
      <c r="H22" s="86"/>
      <c r="I22" s="55"/>
      <c r="J22" s="55"/>
    </row>
    <row r="23" spans="1:10" ht="21.75" customHeight="1" thickBot="1">
      <c r="A23" s="55"/>
      <c r="B23" s="69"/>
      <c r="C23" s="41"/>
      <c r="D23" s="74"/>
      <c r="E23" s="75"/>
      <c r="F23" s="75"/>
      <c r="G23" s="75"/>
      <c r="H23" s="87"/>
      <c r="I23" s="55"/>
      <c r="J23" s="55"/>
    </row>
    <row r="24" spans="1:10" ht="30.75" customHeight="1" thickBot="1">
      <c r="A24" s="55"/>
      <c r="B24" s="50" t="s">
        <v>22</v>
      </c>
      <c r="C24" s="52">
        <f>(H8*H10+150)*IF(C17="Yes",12/F17-12/H17,1)*IF(AND(C17="No",H9="Deep Cycle/AGM"),12/H12-12/52,1)*IF(AND(C17="No",H9="Flooded"),12/H12-12/26,1)</f>
        <v>146.09032258064516</v>
      </c>
      <c r="D24" s="145" t="s">
        <v>101</v>
      </c>
      <c r="E24" s="146"/>
      <c r="F24" s="146"/>
      <c r="G24" s="146"/>
      <c r="H24" s="88"/>
      <c r="I24" s="55"/>
      <c r="J24" s="55"/>
    </row>
    <row r="25" spans="1:10" ht="19.5" thickBot="1">
      <c r="A25" s="55"/>
      <c r="B25" s="50"/>
      <c r="C25" s="41"/>
      <c r="D25" s="74"/>
      <c r="E25" s="75"/>
      <c r="F25" s="75"/>
      <c r="G25" s="75"/>
      <c r="H25" s="87"/>
      <c r="I25" s="55"/>
      <c r="J25" s="55"/>
    </row>
    <row r="26" spans="1:10" ht="31.5" customHeight="1" thickBot="1">
      <c r="A26" s="55"/>
      <c r="B26" s="50" t="s">
        <v>102</v>
      </c>
      <c r="C26" s="52">
        <f>C12*0.00222*H13*IF(C11=1,3/12*365,1)*IF(C11=2,4/12*365,1)*IF(C11=3,5/12*365,1)*IF(C11=4,6/12*365,1)*IF(C11=5,7/12*365,1)*IF(C10="Small Truck",1.06,1)*IF(C10="Large Truck",1.12,1)*IF(C10="Semi-Tractor",1.25,1)</f>
        <v>134.2059375</v>
      </c>
      <c r="D26" s="145" t="s">
        <v>103</v>
      </c>
      <c r="E26" s="146"/>
      <c r="F26" s="146"/>
      <c r="G26" s="146"/>
      <c r="H26" s="89"/>
      <c r="I26" s="55"/>
      <c r="J26" s="55"/>
    </row>
    <row r="27" spans="1:10" ht="21">
      <c r="A27" s="55"/>
      <c r="B27" s="50"/>
      <c r="C27" s="51"/>
      <c r="D27" s="73"/>
      <c r="E27" s="76"/>
      <c r="F27" s="76"/>
      <c r="G27" s="76"/>
      <c r="H27" s="89"/>
      <c r="I27" s="55"/>
      <c r="J27" s="55"/>
    </row>
    <row r="28" spans="1:10" ht="46.5" customHeight="1" thickBot="1">
      <c r="A28" s="55"/>
      <c r="B28" s="48"/>
      <c r="C28" s="54" t="s">
        <v>28</v>
      </c>
      <c r="D28" s="54" t="s">
        <v>29</v>
      </c>
      <c r="E28" s="54" t="s">
        <v>30</v>
      </c>
      <c r="F28" s="43"/>
      <c r="G28" s="43"/>
      <c r="H28" s="90"/>
      <c r="I28" s="55"/>
      <c r="J28" s="55"/>
    </row>
    <row r="29" spans="1:10" ht="21.75" customHeight="1">
      <c r="A29" s="55"/>
      <c r="B29" s="50" t="s">
        <v>104</v>
      </c>
      <c r="C29" s="67">
        <f>D29*0.7</f>
        <v>5446.207382056451</v>
      </c>
      <c r="D29" s="46">
        <f>C22+C24+C26</f>
        <v>7780.296260080645</v>
      </c>
      <c r="E29" s="67">
        <f>D29*1.3</f>
        <v>10114.385138104839</v>
      </c>
      <c r="F29" s="77" t="s">
        <v>32</v>
      </c>
      <c r="G29" s="44"/>
      <c r="H29" s="42"/>
      <c r="I29" s="55"/>
      <c r="J29" s="55"/>
    </row>
    <row r="30" spans="1:10" ht="21.75" customHeight="1">
      <c r="A30" s="55"/>
      <c r="B30" s="50" t="s">
        <v>105</v>
      </c>
      <c r="C30" s="68">
        <f>D30*0.7</f>
        <v>5446.207382056451</v>
      </c>
      <c r="D30" s="47">
        <f>D29*C8</f>
        <v>7780.296260080645</v>
      </c>
      <c r="E30" s="68">
        <f>D30*1.3</f>
        <v>10114.385138104839</v>
      </c>
      <c r="F30" s="72" t="s">
        <v>34</v>
      </c>
      <c r="G30" s="44"/>
      <c r="H30" s="42"/>
      <c r="I30" s="55"/>
      <c r="J30" s="55"/>
    </row>
    <row r="31" spans="1:10" ht="21.75" customHeight="1">
      <c r="A31" s="55"/>
      <c r="B31" s="50" t="s">
        <v>35</v>
      </c>
      <c r="C31" s="68">
        <f>D31*0.7</f>
        <v>37423.451674395161</v>
      </c>
      <c r="D31" s="47">
        <f>D29*C9-H15</f>
        <v>53462.073820564518</v>
      </c>
      <c r="E31" s="68">
        <f>D31*1.3</f>
        <v>69500.695966733882</v>
      </c>
      <c r="F31" s="72" t="s">
        <v>36</v>
      </c>
      <c r="G31" s="44"/>
      <c r="H31" s="42"/>
      <c r="I31" s="55"/>
      <c r="J31" s="55"/>
    </row>
    <row r="32" spans="1:10" ht="32.25" customHeight="1" thickBot="1">
      <c r="A32" s="55"/>
      <c r="B32" s="91" t="s">
        <v>37</v>
      </c>
      <c r="C32" s="92">
        <f>D32/0.7</f>
        <v>2.2033681713142701</v>
      </c>
      <c r="D32" s="93">
        <f>H15/D29*12</f>
        <v>1.5423577199199889</v>
      </c>
      <c r="E32" s="92">
        <f>D32/1.3</f>
        <v>1.1864290153230683</v>
      </c>
      <c r="F32" s="94"/>
      <c r="G32" s="94"/>
      <c r="H32" s="95"/>
      <c r="I32" s="55"/>
      <c r="J32" s="55"/>
    </row>
    <row r="33" spans="1:10" ht="32.25" customHeight="1">
      <c r="A33" s="55"/>
      <c r="B33" s="139" t="s">
        <v>38</v>
      </c>
      <c r="C33" s="140"/>
      <c r="D33" s="140"/>
      <c r="E33" s="140"/>
      <c r="F33" s="140"/>
      <c r="G33" s="140"/>
      <c r="H33" s="140"/>
      <c r="I33" s="55"/>
      <c r="J33" s="55"/>
    </row>
    <row r="34" spans="1:10" ht="32.25" customHeight="1">
      <c r="A34" s="55"/>
      <c r="B34" s="142"/>
      <c r="C34" s="143"/>
      <c r="D34" s="143"/>
      <c r="E34" s="143"/>
      <c r="F34" s="143"/>
      <c r="G34" s="143"/>
      <c r="H34" s="143"/>
      <c r="I34" s="55"/>
      <c r="J34" s="55"/>
    </row>
    <row r="35" spans="1:10" ht="32.25" customHeight="1">
      <c r="A35" s="55"/>
      <c r="B35" s="142"/>
      <c r="C35" s="143"/>
      <c r="D35" s="143"/>
      <c r="E35" s="143"/>
      <c r="F35" s="143"/>
      <c r="G35" s="143"/>
      <c r="H35" s="143"/>
      <c r="I35" s="55"/>
      <c r="J35" s="55"/>
    </row>
    <row r="36" spans="1:10" ht="32.25" customHeight="1" thickBot="1">
      <c r="A36" s="55"/>
      <c r="B36" s="150"/>
      <c r="C36" s="151"/>
      <c r="D36" s="151"/>
      <c r="E36" s="151"/>
      <c r="F36" s="151"/>
      <c r="G36" s="151"/>
      <c r="H36" s="151"/>
      <c r="I36" s="55"/>
      <c r="J36" s="55"/>
    </row>
    <row r="37" spans="1:10" ht="32.25" customHeight="1">
      <c r="A37" s="55"/>
      <c r="B37" s="147" t="s">
        <v>42</v>
      </c>
      <c r="C37" s="148"/>
      <c r="D37" s="148"/>
      <c r="E37" s="148"/>
      <c r="F37" s="148"/>
      <c r="G37" s="148"/>
      <c r="H37" s="148"/>
      <c r="I37" s="55"/>
      <c r="J37" s="55"/>
    </row>
    <row r="38" spans="1:10" ht="47.25" customHeight="1">
      <c r="A38" s="55"/>
      <c r="B38" s="132" t="s">
        <v>43</v>
      </c>
      <c r="C38" s="133"/>
      <c r="D38" s="131">
        <f>H8*IF(C17="Yes",12/F17-12/H17,1)*IF(AND(C17="No",H9="AGM"),12/H12-12/52,1)*IF(AND(C17="No",H9="Flooded"),12/H12-12/26,1)*C8*70</f>
        <v>40.103225806451611</v>
      </c>
      <c r="E38" s="131"/>
      <c r="F38" s="62"/>
      <c r="G38" s="63"/>
      <c r="H38" s="63"/>
      <c r="I38" s="55"/>
      <c r="J38" s="55"/>
    </row>
    <row r="39" spans="1:10" ht="47.25" customHeight="1">
      <c r="A39" s="55"/>
      <c r="B39" s="132" t="s">
        <v>44</v>
      </c>
      <c r="C39" s="133"/>
      <c r="D39" s="131">
        <f>C26/C12*C8</f>
        <v>50.643750000000004</v>
      </c>
      <c r="E39" s="131"/>
      <c r="F39" s="63"/>
      <c r="G39" s="63"/>
      <c r="H39" s="63"/>
      <c r="I39" s="55"/>
      <c r="J39" s="55"/>
    </row>
    <row r="40" spans="1:10" ht="47.25" customHeight="1" thickBot="1">
      <c r="A40" s="55"/>
      <c r="B40" s="134" t="s">
        <v>45</v>
      </c>
      <c r="C40" s="135"/>
      <c r="D40" s="130">
        <f>D39*22.38</f>
        <v>1133.407125</v>
      </c>
      <c r="E40" s="130"/>
      <c r="F40" s="64"/>
      <c r="G40" s="64"/>
      <c r="H40" s="64"/>
      <c r="I40" s="55"/>
      <c r="J40" s="55"/>
    </row>
    <row r="41" spans="1:10" ht="245.2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</row>
    <row r="42" spans="1:10" ht="245.2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</row>
  </sheetData>
  <sheetProtection password="C424" sheet="1" objects="1" scenarios="1" selectLockedCells="1"/>
  <mergeCells count="25">
    <mergeCell ref="B40:C40"/>
    <mergeCell ref="D40:E40"/>
    <mergeCell ref="D17:E17"/>
    <mergeCell ref="B33:H33"/>
    <mergeCell ref="B34:H34"/>
    <mergeCell ref="B35:H35"/>
    <mergeCell ref="B36:H36"/>
    <mergeCell ref="B37:H37"/>
    <mergeCell ref="B38:C38"/>
    <mergeCell ref="D38:E38"/>
    <mergeCell ref="D24:G24"/>
    <mergeCell ref="D22:G22"/>
    <mergeCell ref="F15:G15"/>
    <mergeCell ref="B16:H16"/>
    <mergeCell ref="B18:H18"/>
    <mergeCell ref="B39:C39"/>
    <mergeCell ref="D39:E39"/>
    <mergeCell ref="D26:G26"/>
    <mergeCell ref="F13:G13"/>
    <mergeCell ref="B7:H7"/>
    <mergeCell ref="F8:G8"/>
    <mergeCell ref="F9:G9"/>
    <mergeCell ref="F10:G10"/>
    <mergeCell ref="F11:G11"/>
    <mergeCell ref="F12:G12"/>
  </mergeCells>
  <conditionalFormatting sqref="F17">
    <cfRule type="expression" dxfId="0" priority="1">
      <formula>"if($C$18=""No"")"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'Liftgate data'!$A$1:$A$5</xm:f>
          </x14:formula1>
          <xm:sqref>C11</xm:sqref>
        </x14:dataValidation>
        <x14:dataValidation type="list" allowBlank="1" showInputMessage="1" showErrorMessage="1" xr:uid="{00000000-0002-0000-0200-000001000000}">
          <x14:formula1>
            <xm:f>'Liftgate data'!$E$1:$E$2</xm:f>
          </x14:formula1>
          <xm:sqref>H9</xm:sqref>
        </x14:dataValidation>
        <x14:dataValidation type="list" allowBlank="1" showInputMessage="1" showErrorMessage="1" xr:uid="{00000000-0002-0000-0200-000002000000}">
          <x14:formula1>
            <xm:f>'Liftgate data'!$D$1:$D$4</xm:f>
          </x14:formula1>
          <xm:sqref>H8</xm:sqref>
        </x14:dataValidation>
        <x14:dataValidation type="list" allowBlank="1" showInputMessage="1" showErrorMessage="1" xr:uid="{00000000-0002-0000-0200-000003000000}">
          <x14:formula1>
            <xm:f>'Liftgate data'!$A$9:$A$10</xm:f>
          </x14:formula1>
          <xm:sqref>C17</xm:sqref>
        </x14:dataValidation>
        <x14:dataValidation type="list" allowBlank="1" showInputMessage="1" showErrorMessage="1" xr:uid="{00000000-0002-0000-0200-000004000000}">
          <x14:formula1>
            <xm:f>'Liftgate data'!$C$1:$C$4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E5" sqref="E5"/>
    </sheetView>
  </sheetViews>
  <sheetFormatPr defaultColWidth="9.140625" defaultRowHeight="15"/>
  <cols>
    <col min="1" max="4" width="12.85546875" style="1" customWidth="1"/>
    <col min="5" max="5" width="16.140625" style="1" bestFit="1" customWidth="1"/>
    <col min="6" max="7" width="12.85546875" style="1" customWidth="1"/>
    <col min="8" max="8" width="13.7109375" style="1" customWidth="1"/>
    <col min="9" max="9" width="22.42578125" style="1" bestFit="1" customWidth="1"/>
    <col min="10" max="10" width="16" style="1" bestFit="1" customWidth="1"/>
    <col min="11" max="11" width="9.28515625" style="1" customWidth="1"/>
    <col min="12" max="16384" width="9.140625" style="1"/>
  </cols>
  <sheetData>
    <row r="1" spans="1:9" ht="17.25">
      <c r="A1" s="1">
        <v>1</v>
      </c>
      <c r="C1" s="1" t="s">
        <v>106</v>
      </c>
      <c r="D1" s="1">
        <v>1</v>
      </c>
      <c r="E1" s="1" t="s">
        <v>81</v>
      </c>
      <c r="F1" s="1">
        <v>1</v>
      </c>
      <c r="G1" s="114"/>
      <c r="H1" s="120" t="s">
        <v>107</v>
      </c>
      <c r="I1" s="115"/>
    </row>
    <row r="2" spans="1:9" ht="17.25">
      <c r="A2" s="1">
        <v>2</v>
      </c>
      <c r="C2" s="1" t="s">
        <v>108</v>
      </c>
      <c r="D2" s="1">
        <v>2</v>
      </c>
      <c r="E2" s="1" t="s">
        <v>109</v>
      </c>
      <c r="F2" s="1">
        <v>2</v>
      </c>
      <c r="G2" s="114"/>
      <c r="H2" s="120" t="s">
        <v>110</v>
      </c>
    </row>
    <row r="3" spans="1:9">
      <c r="A3" s="1">
        <v>3</v>
      </c>
      <c r="C3" s="1" t="s">
        <v>111</v>
      </c>
      <c r="D3" s="1">
        <v>3</v>
      </c>
      <c r="F3" s="1">
        <v>3</v>
      </c>
      <c r="G3" s="116"/>
      <c r="H3" s="120" t="s">
        <v>112</v>
      </c>
    </row>
    <row r="4" spans="1:9">
      <c r="A4" s="1">
        <v>4</v>
      </c>
      <c r="C4" s="1" t="s">
        <v>83</v>
      </c>
      <c r="D4" s="1">
        <v>4</v>
      </c>
      <c r="F4" s="1">
        <v>4</v>
      </c>
    </row>
    <row r="5" spans="1:9">
      <c r="A5" s="1">
        <v>5</v>
      </c>
      <c r="F5" s="117">
        <v>5</v>
      </c>
      <c r="G5" s="118"/>
    </row>
    <row r="6" spans="1:9" ht="26.25" customHeight="1">
      <c r="C6" s="1" t="s">
        <v>113</v>
      </c>
      <c r="F6" s="1">
        <v>6</v>
      </c>
      <c r="G6" s="116"/>
    </row>
    <row r="7" spans="1:9">
      <c r="C7" s="1" t="s">
        <v>114</v>
      </c>
      <c r="F7" s="4">
        <v>7</v>
      </c>
      <c r="G7" s="119"/>
    </row>
    <row r="8" spans="1:9">
      <c r="C8" s="1" t="s">
        <v>115</v>
      </c>
    </row>
    <row r="9" spans="1:9">
      <c r="A9" s="1" t="s">
        <v>95</v>
      </c>
      <c r="C9" s="1" t="s">
        <v>116</v>
      </c>
    </row>
    <row r="10" spans="1:9">
      <c r="A10" s="1" t="s">
        <v>117</v>
      </c>
      <c r="C10" s="1" t="s">
        <v>118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7"/>
  <sheetViews>
    <sheetView topLeftCell="A5" workbookViewId="0">
      <selection activeCell="A27" sqref="A27"/>
    </sheetView>
  </sheetViews>
  <sheetFormatPr defaultRowHeight="15"/>
  <sheetData>
    <row r="1" spans="1:1">
      <c r="A1" s="3" t="s">
        <v>119</v>
      </c>
    </row>
    <row r="2" spans="1:1">
      <c r="A2" t="s">
        <v>120</v>
      </c>
    </row>
    <row r="4" spans="1:1">
      <c r="A4" s="3" t="s">
        <v>121</v>
      </c>
    </row>
    <row r="5" spans="1:1">
      <c r="A5" t="s">
        <v>122</v>
      </c>
    </row>
    <row r="6" spans="1:1">
      <c r="A6" t="s">
        <v>123</v>
      </c>
    </row>
    <row r="8" spans="1:1">
      <c r="A8" s="3" t="s">
        <v>124</v>
      </c>
    </row>
    <row r="9" spans="1:1">
      <c r="A9" t="s">
        <v>125</v>
      </c>
    </row>
    <row r="11" spans="1:1">
      <c r="A11" s="3" t="s">
        <v>126</v>
      </c>
    </row>
    <row r="12" spans="1:1">
      <c r="A12" t="s">
        <v>127</v>
      </c>
    </row>
    <row r="14" spans="1:1">
      <c r="A14" s="3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20" spans="1:1">
      <c r="A20" s="3" t="s">
        <v>133</v>
      </c>
    </row>
    <row r="21" spans="1:1">
      <c r="A21" t="s">
        <v>134</v>
      </c>
    </row>
    <row r="23" spans="1:1">
      <c r="A23" s="3" t="s">
        <v>135</v>
      </c>
    </row>
    <row r="24" spans="1:1">
      <c r="A24" t="s">
        <v>136</v>
      </c>
    </row>
    <row r="26" spans="1:1">
      <c r="A26" s="3" t="s">
        <v>137</v>
      </c>
    </row>
    <row r="27" spans="1:1">
      <c r="A27" t="s">
        <v>138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1be61bf9-2e6b-4719-893b-8b5e3b2d289b">
      <Terms xmlns="http://schemas.microsoft.com/office/infopath/2007/PartnerControls"/>
    </lcf76f155ced4ddcb4097134ff3c332f>
    <TaxCatchAll xmlns="be409b11-1d5f-42f8-ba58-ecd6332b10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7062783C9B542B5CDA24341016AB3" ma:contentTypeVersion="13" ma:contentTypeDescription="Create a new document." ma:contentTypeScope="" ma:versionID="3df1dcb5664e39ef16d0ee0898d156d9">
  <xsd:schema xmlns:xsd="http://www.w3.org/2001/XMLSchema" xmlns:xs="http://www.w3.org/2001/XMLSchema" xmlns:p="http://schemas.microsoft.com/office/2006/metadata/properties" xmlns:ns2="1be61bf9-2e6b-4719-893b-8b5e3b2d289b" xmlns:ns3="be409b11-1d5f-42f8-ba58-ecd6332b1056" targetNamespace="http://schemas.microsoft.com/office/2006/metadata/properties" ma:root="true" ma:fieldsID="20d8b556b6229b519e2e882ddbc505d3" ns2:_="" ns3:_="">
    <xsd:import namespace="1be61bf9-2e6b-4719-893b-8b5e3b2d289b"/>
    <xsd:import namespace="be409b11-1d5f-42f8-ba58-ecd6332b1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61bf9-2e6b-4719-893b-8b5e3b2d2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75046eb-df8b-41a1-9b00-7e1e92675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09b11-1d5f-42f8-ba58-ecd6332b105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9797a88-be15-4739-829e-43dc54f111bd}" ma:internalName="TaxCatchAll" ma:showField="CatchAllData" ma:web="be409b11-1d5f-42f8-ba58-ecd6332b1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8EF24-A566-4D2D-9C31-5BF21778571A}"/>
</file>

<file path=customXml/itemProps2.xml><?xml version="1.0" encoding="utf-8"?>
<ds:datastoreItem xmlns:ds="http://schemas.openxmlformats.org/officeDocument/2006/customXml" ds:itemID="{1A18932A-BB38-48E8-9617-94805CAD4B69}"/>
</file>

<file path=customXml/itemProps3.xml><?xml version="1.0" encoding="utf-8"?>
<ds:datastoreItem xmlns:ds="http://schemas.openxmlformats.org/officeDocument/2006/customXml" ds:itemID="{AB053066-CAB6-4271-B056-F4E6C3AFA7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Ingersoll Rand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Kroes, Paul</dc:creator>
  <cp:keywords>solar calculator, therolite calculator, solar calc, thermolite calc</cp:keywords>
  <dc:description/>
  <cp:lastModifiedBy/>
  <cp:revision/>
  <dcterms:created xsi:type="dcterms:W3CDTF">2015-06-29T18:43:00Z</dcterms:created>
  <dcterms:modified xsi:type="dcterms:W3CDTF">2022-07-25T16:38:50Z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0x010100B617062783C9B542B5CDA24341016AB3</vt:lpwstr>
  </property>
  <property fmtid="{D5CDD505-2E9C-101B-9397-08002B2CF9AE}" pid="3" name="TitusGUID">
    <vt:lpwstr>fb751845-908b-4dc9-ab11-ba2f366961e2</vt:lpwstr>
  </property>
  <property fmtid="{D5CDD505-2E9C-101B-9397-08002B2CF9AE}" pid="4" name="CLASSIFICATION">
    <vt:lpwstr>TT-DC-3</vt:lpwstr>
  </property>
  <property fmtid="{D5CDD505-2E9C-101B-9397-08002B2CF9AE}" pid="5" name="MSIP_Label_162b2348-a379-47d7-bf25-1402d7b08038_Enabled">
    <vt:lpwstr>true</vt:lpwstr>
  </property>
  <property fmtid="{D5CDD505-2E9C-101B-9397-08002B2CF9AE}" pid="6" name="MSIP_Label_162b2348-a379-47d7-bf25-1402d7b08038_SetDate">
    <vt:lpwstr>2022-04-19T01:22:13Z</vt:lpwstr>
  </property>
  <property fmtid="{D5CDD505-2E9C-101B-9397-08002B2CF9AE}" pid="7" name="MSIP_Label_162b2348-a379-47d7-bf25-1402d7b08038_Method">
    <vt:lpwstr>Standard</vt:lpwstr>
  </property>
  <property fmtid="{D5CDD505-2E9C-101B-9397-08002B2CF9AE}" pid="8" name="MSIP_Label_162b2348-a379-47d7-bf25-1402d7b08038_Name">
    <vt:lpwstr>Business</vt:lpwstr>
  </property>
  <property fmtid="{D5CDD505-2E9C-101B-9397-08002B2CF9AE}" pid="9" name="MSIP_Label_162b2348-a379-47d7-bf25-1402d7b08038_SiteId">
    <vt:lpwstr>abf9983b-ca77-4f20-9633-ca9c5a847041</vt:lpwstr>
  </property>
  <property fmtid="{D5CDD505-2E9C-101B-9397-08002B2CF9AE}" pid="10" name="MSIP_Label_162b2348-a379-47d7-bf25-1402d7b08038_ActionId">
    <vt:lpwstr>26129318-2fb7-498b-abf3-ddf7e7579b52</vt:lpwstr>
  </property>
  <property fmtid="{D5CDD505-2E9C-101B-9397-08002B2CF9AE}" pid="11" name="MSIP_Label_162b2348-a379-47d7-bf25-1402d7b08038_ContentBits">
    <vt:lpwstr>0</vt:lpwstr>
  </property>
</Properties>
</file>